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Deals" sheetId="3" state="visible" r:id="rId3"/>
    <sheet xmlns:r="http://schemas.openxmlformats.org/officeDocument/2006/relationships" name="Shortlist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dd mmm yy"/>
  </numFmts>
  <fonts count="16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0B0D10"/>
      <sz val="10"/>
    </font>
    <font>
      <name val="Calibri"/>
      <color rgb="00999999"/>
      <sz val="8"/>
    </font>
    <font>
      <name val="Calibri"/>
      <b val="1"/>
      <color rgb="00D71A0F"/>
      <sz val="11"/>
    </font>
    <font>
      <name val="Calibri"/>
      <b val="1"/>
      <color rgb="000B0D10"/>
      <sz val="12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10" fillId="3" borderId="0" pivotButton="0" quotePrefix="0" xfId="0"/>
    <xf numFmtId="0" fontId="5" fillId="0" borderId="1" applyAlignment="1" pivotButton="0" quotePrefix="0" xfId="0">
      <alignment horizontal="left" vertical="top" wrapText="1"/>
    </xf>
    <xf numFmtId="3" fontId="5" fillId="4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0" fontId="11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6" fillId="5" borderId="1" applyAlignment="1" pivotButton="0" quotePrefix="0" xfId="0">
      <alignment vertical="top" wrapText="1"/>
    </xf>
    <xf numFmtId="3" fontId="6" fillId="5" borderId="1" applyAlignment="1" pivotButton="0" quotePrefix="0" xfId="0">
      <alignment vertical="top" wrapText="1"/>
    </xf>
    <xf numFmtId="165" fontId="6" fillId="5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13" fillId="0" borderId="1" applyAlignment="1" pivotButton="0" quotePrefix="0" xfId="0">
      <alignment vertical="top" wrapText="1"/>
    </xf>
    <xf numFmtId="0" fontId="12" fillId="4" borderId="1" applyAlignment="1" pivotButton="0" quotePrefix="0" xfId="0">
      <alignment vertical="top" wrapText="1"/>
    </xf>
    <xf numFmtId="3" fontId="12" fillId="4" borderId="1" applyAlignment="1" pivotButton="0" quotePrefix="0" xfId="0">
      <alignment vertical="top" wrapText="1"/>
    </xf>
    <xf numFmtId="165" fontId="12" fillId="4" borderId="1" applyAlignment="1" pivotButton="0" quotePrefix="0" xfId="0">
      <alignment vertical="top" wrapText="1"/>
    </xf>
    <xf numFmtId="0" fontId="14" fillId="0" borderId="0" applyAlignment="1" pivotButton="0" quotePrefix="0" xfId="0">
      <alignment horizontal="center" vertical="top"/>
    </xf>
    <xf numFmtId="3" fontId="12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left" vertical="top" wrapText="1"/>
    </xf>
    <xf numFmtId="0" fontId="5" fillId="0" borderId="1" pivotButton="0" quotePrefix="0" xfId="0"/>
    <xf numFmtId="3" fontId="5" fillId="0" borderId="1" pivotButton="0" quotePrefix="0" xfId="0"/>
    <xf numFmtId="3" fontId="15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  <dxf>
      <font>
        <name val="Calibri"/>
        <b val="1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Forgotten Pipeline Finder</t>
        </is>
      </c>
    </row>
    <row r="4" ht="34" customHeight="1">
      <c r="B4" s="3" t="inlineStr">
        <is>
          <t>Paste a CRM export and find the deals that have gone quiet but are still worth a conversation, ranked, with a suggested action for each.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On Settings, set what "dormant" and "likely dead" mean for your sales cycle, and the deal value worth chasing.</t>
        </is>
      </c>
    </row>
    <row r="8" ht="32" customHeight="1">
      <c r="B8" s="5" t="inlineStr">
        <is>
          <t>2.  On the Deals sheet, delete the grey example rows, then paste your own deals. Missing dates are fine. Use the last real buyer contact, not the last CRM activity.</t>
        </is>
      </c>
    </row>
    <row r="9" ht="32" customHeight="1">
      <c r="B9" s="5" t="inlineStr">
        <is>
          <t>3.  Open Shortlist for your ten best recoveries, and Summary for the value sitting in dormant deals.</t>
        </is>
      </c>
    </row>
    <row r="10" ht="32" customHeight="1">
      <c r="B10" s="5" t="inlineStr">
        <is>
          <t>4.  Use the suggested action as a prompt. The call you make to restart a conversation still needs judgement.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3" customWidth="1" min="3" max="3"/>
    <col width="18" customWidth="1" min="4" max="4"/>
    <col width="22" customWidth="1" min="5" max="5"/>
  </cols>
  <sheetData>
    <row r="1">
      <c r="A1" s="9" t="inlineStr">
        <is>
          <t>Settings</t>
        </is>
      </c>
    </row>
    <row r="3" ht="30" customHeight="1">
      <c r="A3" s="10" t="inlineStr">
        <is>
          <t>Setting</t>
        </is>
      </c>
      <c r="B3" s="10" t="inlineStr">
        <is>
          <t>Value</t>
        </is>
      </c>
      <c r="D3" s="11" t="inlineStr">
        <is>
          <t>Stage</t>
        </is>
      </c>
      <c r="E3" s="11" t="inlineStr">
        <is>
          <t>Stage weight (0 to 1)</t>
        </is>
      </c>
    </row>
    <row r="4">
      <c r="A4" s="12" t="inlineStr">
        <is>
          <t>Dormant after this many days without buyer contact</t>
        </is>
      </c>
      <c r="B4" s="13" t="n">
        <v>45</v>
      </c>
      <c r="D4" s="14" t="inlineStr">
        <is>
          <t>Qualify</t>
        </is>
      </c>
      <c r="E4" s="15" t="n">
        <v>0.2</v>
      </c>
    </row>
    <row r="5">
      <c r="A5" s="12" t="inlineStr">
        <is>
          <t>Likely dead after this many days</t>
        </is>
      </c>
      <c r="B5" s="13" t="n">
        <v>180</v>
      </c>
      <c r="D5" s="14" t="inlineStr">
        <is>
          <t>Discover</t>
        </is>
      </c>
      <c r="E5" s="15" t="n">
        <v>0.4</v>
      </c>
    </row>
    <row r="6">
      <c r="A6" s="12" t="inlineStr">
        <is>
          <t>Minimum deal value worth chasing</t>
        </is>
      </c>
      <c r="B6" s="13" t="n">
        <v>5000</v>
      </c>
      <c r="D6" s="14" t="inlineStr">
        <is>
          <t>Solution</t>
        </is>
      </c>
      <c r="E6" s="15" t="n">
        <v>0.6</v>
      </c>
    </row>
    <row r="7">
      <c r="A7" s="12" t="inlineStr">
        <is>
          <t>Deal value that earns full marks for value</t>
        </is>
      </c>
      <c r="B7" s="13" t="n">
        <v>25000</v>
      </c>
      <c r="D7" s="14" t="inlineStr">
        <is>
          <t>Proposal</t>
        </is>
      </c>
      <c r="E7" s="15" t="n">
        <v>0.8</v>
      </c>
    </row>
    <row r="8">
      <c r="A8" s="12" t="inlineStr">
        <is>
          <t>Flag when CRM activity is this many days newer than buyer contact</t>
        </is>
      </c>
      <c r="B8" s="13" t="n">
        <v>30</v>
      </c>
      <c r="D8" s="14" t="inlineStr">
        <is>
          <t>Negotiate</t>
        </is>
      </c>
      <c r="E8" s="15" t="n">
        <v>0.9</v>
      </c>
    </row>
    <row r="10">
      <c r="A10" s="16" t="inlineStr">
        <is>
          <t>Today</t>
        </is>
      </c>
      <c r="B10" s="17">
        <f>TODAY()</f>
        <v/>
      </c>
    </row>
    <row r="12">
      <c r="A12" s="18" t="inlineStr">
        <is>
          <t>Stage weights say how likely a deal at that stage is to be worth chasing. Edit them to match your own stages.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3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1" customWidth="1" min="4" max="4"/>
    <col width="11" customWidth="1" min="5" max="5"/>
    <col width="13" customWidth="1" min="6" max="6"/>
    <col width="13" customWidth="1" min="7" max="7"/>
    <col width="12" customWidth="1" min="8" max="8"/>
    <col width="12" customWidth="1" min="9" max="9"/>
    <col width="12" customWidth="1" min="10" max="10"/>
    <col width="26" customWidth="1" min="11" max="11"/>
    <col width="11" customWidth="1" min="12" max="12"/>
    <col width="9" customWidth="1" min="13" max="13"/>
    <col width="11" customWidth="1" min="14" max="14"/>
    <col width="26" customWidth="1" min="15" max="15"/>
    <col width="12" customWidth="1" min="16" max="16"/>
    <col width="10" customWidth="1" min="17" max="17"/>
    <col width="28" customWidth="1" min="18" max="18"/>
    <col width="8" customWidth="1" min="19" max="19"/>
  </cols>
  <sheetData>
    <row r="1">
      <c r="A1" s="18" t="inlineStr">
        <is>
          <t>Paste your deals into the yellow cells (columns A to K). The grey cells on the right fill themselves in.</t>
        </is>
      </c>
    </row>
    <row r="3" ht="44" customHeight="1">
      <c r="A3" s="10" t="inlineStr">
        <is>
          <t>Deal</t>
        </is>
      </c>
      <c r="B3" s="10" t="inlineStr">
        <is>
          <t>Owner</t>
        </is>
      </c>
      <c r="C3" s="10" t="inlineStr">
        <is>
          <t>Stage</t>
        </is>
      </c>
      <c r="D3" s="10" t="inlineStr">
        <is>
          <t>Amount</t>
        </is>
      </c>
      <c r="E3" s="10" t="inlineStr">
        <is>
          <t>Created</t>
        </is>
      </c>
      <c r="F3" s="10" t="inlineStr">
        <is>
          <t>Last real buyer contact</t>
        </is>
      </c>
      <c r="G3" s="10" t="inlineStr">
        <is>
          <t>Last CRM activity (any)</t>
        </is>
      </c>
      <c r="H3" s="10" t="inlineStr">
        <is>
          <t>Original close date</t>
        </is>
      </c>
      <c r="I3" s="10" t="inlineStr">
        <is>
          <t>Current close date</t>
        </is>
      </c>
      <c r="J3" s="10" t="inlineStr">
        <is>
          <t>Source</t>
        </is>
      </c>
      <c r="K3" s="10" t="inlineStr">
        <is>
          <t>Notes</t>
        </is>
      </c>
      <c r="L3" s="10" t="inlineStr">
        <is>
          <t>Days since buyer contact</t>
        </is>
      </c>
      <c r="M3" s="10" t="inlineStr">
        <is>
          <t>Deal age (days)</t>
        </is>
      </c>
      <c r="N3" s="10" t="inlineStr">
        <is>
          <t>Close-date slip (days)</t>
        </is>
      </c>
      <c r="O3" s="10" t="inlineStr">
        <is>
          <t>CRM noise?</t>
        </is>
      </c>
      <c r="P3" s="10" t="inlineStr">
        <is>
          <t>Status</t>
        </is>
      </c>
      <c r="Q3" s="10" t="inlineStr">
        <is>
          <t>Recovery score</t>
        </is>
      </c>
      <c r="R3" s="10" t="inlineStr">
        <is>
          <t>Suggested action</t>
        </is>
      </c>
      <c r="S3" s="10" t="inlineStr">
        <is>
          <t>Rank helper</t>
        </is>
      </c>
    </row>
    <row r="4">
      <c r="A4" s="19" t="inlineStr">
        <is>
          <t>Example: Acme Ltd (delete)</t>
        </is>
      </c>
      <c r="B4" s="19" t="inlineStr">
        <is>
          <t>Sam</t>
        </is>
      </c>
      <c r="C4" s="19" t="inlineStr">
        <is>
          <t>Proposal</t>
        </is>
      </c>
      <c r="D4" s="20" t="n">
        <v>28000</v>
      </c>
      <c r="E4" s="21">
        <f>TODAY()-150</f>
        <v/>
      </c>
      <c r="F4" s="21">
        <f>TODAY()-80</f>
        <v/>
      </c>
      <c r="G4" s="21">
        <f>TODAY()-4</f>
        <v/>
      </c>
      <c r="H4" s="21">
        <f>TODAY()-60</f>
        <v/>
      </c>
      <c r="I4" s="21">
        <f>TODAY()+14</f>
        <v/>
      </c>
      <c r="J4" s="19" t="inlineStr">
        <is>
          <t>Inbound</t>
        </is>
      </c>
      <c r="K4" s="19" t="inlineStr">
        <is>
          <t>Went quiet after pricing</t>
        </is>
      </c>
      <c r="L4" s="22">
        <f>IF(A4="","",IF(AND(F4="",E4=""),"",TODAY()-IF(F4="",E4,F4)))</f>
        <v/>
      </c>
      <c r="M4" s="22">
        <f>IF(OR(A4="",E4=""),"",TODAY()-E4)</f>
        <v/>
      </c>
      <c r="N4" s="22">
        <f>IF(OR(H4="",I4=""),"",I4-H4)</f>
        <v/>
      </c>
      <c r="O4" s="22">
        <f>IF(OR(F4="",G4=""),"",IF(G4-F4&gt;Settings!$B$8,"CRM activity, no buyer contact",""))</f>
        <v/>
      </c>
      <c r="P4" s="22">
        <f>IF(A4="","",IF(OR(C4="Closed won",C4="Closed lost"),"Closed",IF(L4="","Check dates",IF(L4&gt;=Settings!$B$5,"Likely dead",IF(L4&gt;=Settings!$B$4,"Dormant","Active")))))</f>
        <v/>
      </c>
      <c r="Q4" s="22">
        <f>IF(OR(P4="Dormant",P4="Likely dead"),ROUND(100*IFERROR(VLOOKUP(C4,Settings!$D$4:$E$8,2,FALSE),0.3)*MIN(1,N(D4)/Settings!$B$7)*IF(P4="Dormant",1-0.5*(L4-Settings!$B$4)/MAX(1,Settings!$B$5-Settings!$B$4),0.25),0),"")</f>
        <v/>
      </c>
      <c r="R4" s="22">
        <f>IF(P4="Dormant",IF(AND(N(D4)&gt;=Settings!$B$6,N(Q4)&gt;=40),"Re-engage now",IF(N(D4)&gt;=Settings!$B$6,"Investigate, then decide","Low value: batch or close")),IF(P4="Likely dead","Close out or recycle to nurture",IF(P4="Active","Leave: active",IF(P4="Check dates","Add dates",""))))</f>
        <v/>
      </c>
      <c r="S4" s="23">
        <f>IF(OR(R4="Re-engage now",R4="Investigate, then decide"),Q4+ROW()/1000000,"")</f>
        <v/>
      </c>
    </row>
    <row r="5">
      <c r="A5" s="19" t="inlineStr">
        <is>
          <t>Example: Northwind (delete)</t>
        </is>
      </c>
      <c r="B5" s="19" t="inlineStr">
        <is>
          <t>Priya</t>
        </is>
      </c>
      <c r="C5" s="19" t="inlineStr">
        <is>
          <t>Discover</t>
        </is>
      </c>
      <c r="D5" s="20" t="n">
        <v>6500</v>
      </c>
      <c r="E5" s="21">
        <f>TODAY()-90</f>
        <v/>
      </c>
      <c r="F5" s="21">
        <f>TODAY()-60</f>
        <v/>
      </c>
      <c r="G5" s="21">
        <f>TODAY()-58</f>
        <v/>
      </c>
      <c r="H5" s="21">
        <f>TODAY()-30</f>
        <v/>
      </c>
      <c r="I5" s="21">
        <f>TODAY()+30</f>
        <v/>
      </c>
      <c r="J5" s="19" t="inlineStr">
        <is>
          <t>Outbound</t>
        </is>
      </c>
      <c r="K5" s="19" t="n"/>
      <c r="L5" s="22">
        <f>IF(A5="","",IF(AND(F5="",E5=""),"",TODAY()-IF(F5="",E5,F5)))</f>
        <v/>
      </c>
      <c r="M5" s="22">
        <f>IF(OR(A5="",E5=""),"",TODAY()-E5)</f>
        <v/>
      </c>
      <c r="N5" s="22">
        <f>IF(OR(H5="",I5=""),"",I5-H5)</f>
        <v/>
      </c>
      <c r="O5" s="22">
        <f>IF(OR(F5="",G5=""),"",IF(G5-F5&gt;Settings!$B$8,"CRM activity, no buyer contact",""))</f>
        <v/>
      </c>
      <c r="P5" s="22">
        <f>IF(A5="","",IF(OR(C5="Closed won",C5="Closed lost"),"Closed",IF(L5="","Check dates",IF(L5&gt;=Settings!$B$5,"Likely dead",IF(L5&gt;=Settings!$B$4,"Dormant","Active")))))</f>
        <v/>
      </c>
      <c r="Q5" s="22">
        <f>IF(OR(P5="Dormant",P5="Likely dead"),ROUND(100*IFERROR(VLOOKUP(C5,Settings!$D$4:$E$8,2,FALSE),0.3)*MIN(1,N(D5)/Settings!$B$7)*IF(P5="Dormant",1-0.5*(L5-Settings!$B$4)/MAX(1,Settings!$B$5-Settings!$B$4),0.25),0),"")</f>
        <v/>
      </c>
      <c r="R5" s="22">
        <f>IF(P5="Dormant",IF(AND(N(D5)&gt;=Settings!$B$6,N(Q5)&gt;=40),"Re-engage now",IF(N(D5)&gt;=Settings!$B$6,"Investigate, then decide","Low value: batch or close")),IF(P5="Likely dead","Close out or recycle to nurture",IF(P5="Active","Leave: active",IF(P5="Check dates","Add dates",""))))</f>
        <v/>
      </c>
      <c r="S5" s="23">
        <f>IF(OR(R5="Re-engage now",R5="Investigate, then decide"),Q5+ROW()/1000000,"")</f>
        <v/>
      </c>
    </row>
    <row r="6">
      <c r="A6" s="19" t="inlineStr">
        <is>
          <t>Example: Globex (delete)</t>
        </is>
      </c>
      <c r="B6" s="19" t="inlineStr">
        <is>
          <t>Sam</t>
        </is>
      </c>
      <c r="C6" s="19" t="inlineStr">
        <is>
          <t>Negotiate</t>
        </is>
      </c>
      <c r="D6" s="20" t="n">
        <v>52000</v>
      </c>
      <c r="E6" s="21">
        <f>TODAY()-260</f>
        <v/>
      </c>
      <c r="F6" s="21">
        <f>TODAY()-210</f>
        <v/>
      </c>
      <c r="G6" s="21">
        <f>TODAY()-9</f>
        <v/>
      </c>
      <c r="H6" s="21">
        <f>TODAY()-120</f>
        <v/>
      </c>
      <c r="I6" s="21">
        <f>TODAY()-30</f>
        <v/>
      </c>
      <c r="J6" s="19" t="inlineStr">
        <is>
          <t>Referral</t>
        </is>
      </c>
      <c r="K6" s="19" t="inlineStr">
        <is>
          <t>Champion left</t>
        </is>
      </c>
      <c r="L6" s="22">
        <f>IF(A6="","",IF(AND(F6="",E6=""),"",TODAY()-IF(F6="",E6,F6)))</f>
        <v/>
      </c>
      <c r="M6" s="22">
        <f>IF(OR(A6="",E6=""),"",TODAY()-E6)</f>
        <v/>
      </c>
      <c r="N6" s="22">
        <f>IF(OR(H6="",I6=""),"",I6-H6)</f>
        <v/>
      </c>
      <c r="O6" s="22">
        <f>IF(OR(F6="",G6=""),"",IF(G6-F6&gt;Settings!$B$8,"CRM activity, no buyer contact",""))</f>
        <v/>
      </c>
      <c r="P6" s="22">
        <f>IF(A6="","",IF(OR(C6="Closed won",C6="Closed lost"),"Closed",IF(L6="","Check dates",IF(L6&gt;=Settings!$B$5,"Likely dead",IF(L6&gt;=Settings!$B$4,"Dormant","Active")))))</f>
        <v/>
      </c>
      <c r="Q6" s="22">
        <f>IF(OR(P6="Dormant",P6="Likely dead"),ROUND(100*IFERROR(VLOOKUP(C6,Settings!$D$4:$E$8,2,FALSE),0.3)*MIN(1,N(D6)/Settings!$B$7)*IF(P6="Dormant",1-0.5*(L6-Settings!$B$4)/MAX(1,Settings!$B$5-Settings!$B$4),0.25),0),"")</f>
        <v/>
      </c>
      <c r="R6" s="22">
        <f>IF(P6="Dormant",IF(AND(N(D6)&gt;=Settings!$B$6,N(Q6)&gt;=40),"Re-engage now",IF(N(D6)&gt;=Settings!$B$6,"Investigate, then decide","Low value: batch or close")),IF(P6="Likely dead","Close out or recycle to nurture",IF(P6="Active","Leave: active",IF(P6="Check dates","Add dates",""))))</f>
        <v/>
      </c>
      <c r="S6" s="23">
        <f>IF(OR(R6="Re-engage now",R6="Investigate, then decide"),Q6+ROW()/1000000,"")</f>
        <v/>
      </c>
    </row>
    <row r="7">
      <c r="A7" s="19" t="inlineStr">
        <is>
          <t>Example: Initech (delete)</t>
        </is>
      </c>
      <c r="B7" s="19" t="inlineStr">
        <is>
          <t>Priya</t>
        </is>
      </c>
      <c r="C7" s="19" t="inlineStr">
        <is>
          <t>Qualify</t>
        </is>
      </c>
      <c r="D7" s="20" t="n">
        <v>2000</v>
      </c>
      <c r="E7" s="21">
        <f>TODAY()-70</f>
        <v/>
      </c>
      <c r="F7" s="21">
        <f>TODAY()-50</f>
        <v/>
      </c>
      <c r="G7" s="21">
        <f>TODAY()-50</f>
        <v/>
      </c>
      <c r="H7" s="21">
        <f>TODAY()-20</f>
        <v/>
      </c>
      <c r="I7" s="21">
        <f>TODAY()+20</f>
        <v/>
      </c>
      <c r="J7" s="19" t="inlineStr">
        <is>
          <t>Outbound</t>
        </is>
      </c>
      <c r="K7" s="19" t="n"/>
      <c r="L7" s="22">
        <f>IF(A7="","",IF(AND(F7="",E7=""),"",TODAY()-IF(F7="",E7,F7)))</f>
        <v/>
      </c>
      <c r="M7" s="22">
        <f>IF(OR(A7="",E7=""),"",TODAY()-E7)</f>
        <v/>
      </c>
      <c r="N7" s="22">
        <f>IF(OR(H7="",I7=""),"",I7-H7)</f>
        <v/>
      </c>
      <c r="O7" s="22">
        <f>IF(OR(F7="",G7=""),"",IF(G7-F7&gt;Settings!$B$8,"CRM activity, no buyer contact",""))</f>
        <v/>
      </c>
      <c r="P7" s="22">
        <f>IF(A7="","",IF(OR(C7="Closed won",C7="Closed lost"),"Closed",IF(L7="","Check dates",IF(L7&gt;=Settings!$B$5,"Likely dead",IF(L7&gt;=Settings!$B$4,"Dormant","Active")))))</f>
        <v/>
      </c>
      <c r="Q7" s="22">
        <f>IF(OR(P7="Dormant",P7="Likely dead"),ROUND(100*IFERROR(VLOOKUP(C7,Settings!$D$4:$E$8,2,FALSE),0.3)*MIN(1,N(D7)/Settings!$B$7)*IF(P7="Dormant",1-0.5*(L7-Settings!$B$4)/MAX(1,Settings!$B$5-Settings!$B$4),0.25),0),"")</f>
        <v/>
      </c>
      <c r="R7" s="22">
        <f>IF(P7="Dormant",IF(AND(N(D7)&gt;=Settings!$B$6,N(Q7)&gt;=40),"Re-engage now",IF(N(D7)&gt;=Settings!$B$6,"Investigate, then decide","Low value: batch or close")),IF(P7="Likely dead","Close out or recycle to nurture",IF(P7="Active","Leave: active",IF(P7="Check dates","Add dates",""))))</f>
        <v/>
      </c>
      <c r="S7" s="23">
        <f>IF(OR(R7="Re-engage now",R7="Investigate, then decide"),Q7+ROW()/1000000,"")</f>
        <v/>
      </c>
    </row>
    <row r="8">
      <c r="A8" s="19" t="inlineStr">
        <is>
          <t>Example: Hooli (delete)</t>
        </is>
      </c>
      <c r="B8" s="19" t="inlineStr">
        <is>
          <t>Sam</t>
        </is>
      </c>
      <c r="C8" s="19" t="inlineStr">
        <is>
          <t>Solution</t>
        </is>
      </c>
      <c r="D8" s="20" t="n">
        <v>15000</v>
      </c>
      <c r="E8" s="21">
        <f>TODAY()-40</f>
        <v/>
      </c>
      <c r="F8" s="21">
        <f>TODAY()-12</f>
        <v/>
      </c>
      <c r="G8" s="21">
        <f>TODAY()-10</f>
        <v/>
      </c>
      <c r="H8" s="21">
        <f>TODAY()+30</f>
        <v/>
      </c>
      <c r="I8" s="21">
        <f>TODAY()+30</f>
        <v/>
      </c>
      <c r="J8" s="19" t="inlineStr">
        <is>
          <t>Event</t>
        </is>
      </c>
      <c r="K8" s="19" t="n"/>
      <c r="L8" s="22">
        <f>IF(A8="","",IF(AND(F8="",E8=""),"",TODAY()-IF(F8="",E8,F8)))</f>
        <v/>
      </c>
      <c r="M8" s="22">
        <f>IF(OR(A8="",E8=""),"",TODAY()-E8)</f>
        <v/>
      </c>
      <c r="N8" s="22">
        <f>IF(OR(H8="",I8=""),"",I8-H8)</f>
        <v/>
      </c>
      <c r="O8" s="22">
        <f>IF(OR(F8="",G8=""),"",IF(G8-F8&gt;Settings!$B$8,"CRM activity, no buyer contact",""))</f>
        <v/>
      </c>
      <c r="P8" s="22">
        <f>IF(A8="","",IF(OR(C8="Closed won",C8="Closed lost"),"Closed",IF(L8="","Check dates",IF(L8&gt;=Settings!$B$5,"Likely dead",IF(L8&gt;=Settings!$B$4,"Dormant","Active")))))</f>
        <v/>
      </c>
      <c r="Q8" s="22">
        <f>IF(OR(P8="Dormant",P8="Likely dead"),ROUND(100*IFERROR(VLOOKUP(C8,Settings!$D$4:$E$8,2,FALSE),0.3)*MIN(1,N(D8)/Settings!$B$7)*IF(P8="Dormant",1-0.5*(L8-Settings!$B$4)/MAX(1,Settings!$B$5-Settings!$B$4),0.25),0),"")</f>
        <v/>
      </c>
      <c r="R8" s="22">
        <f>IF(P8="Dormant",IF(AND(N(D8)&gt;=Settings!$B$6,N(Q8)&gt;=40),"Re-engage now",IF(N(D8)&gt;=Settings!$B$6,"Investigate, then decide","Low value: batch or close")),IF(P8="Likely dead","Close out or recycle to nurture",IF(P8="Active","Leave: active",IF(P8="Check dates","Add dates",""))))</f>
        <v/>
      </c>
      <c r="S8" s="23">
        <f>IF(OR(R8="Re-engage now",R8="Investigate, then decide"),Q8+ROW()/1000000,"")</f>
        <v/>
      </c>
    </row>
    <row r="9">
      <c r="A9" s="19" t="inlineStr">
        <is>
          <t>Example: Umbrella (delete)</t>
        </is>
      </c>
      <c r="B9" s="19" t="inlineStr">
        <is>
          <t>Priya</t>
        </is>
      </c>
      <c r="C9" s="19" t="inlineStr">
        <is>
          <t>Proposal</t>
        </is>
      </c>
      <c r="D9" s="20" t="n">
        <v>19000</v>
      </c>
      <c r="E9" s="21">
        <f>TODAY()-120</f>
        <v/>
      </c>
      <c r="F9" s="21">
        <f>TODAY()-70</f>
        <v/>
      </c>
      <c r="G9" s="21">
        <f>TODAY()-30</f>
        <v/>
      </c>
      <c r="H9" s="21">
        <f>TODAY()-40</f>
        <v/>
      </c>
      <c r="I9" s="21">
        <f>TODAY()+45</f>
        <v/>
      </c>
      <c r="J9" s="19" t="inlineStr">
        <is>
          <t>Inbound</t>
        </is>
      </c>
      <c r="K9" s="19" t="n"/>
      <c r="L9" s="22">
        <f>IF(A9="","",IF(AND(F9="",E9=""),"",TODAY()-IF(F9="",E9,F9)))</f>
        <v/>
      </c>
      <c r="M9" s="22">
        <f>IF(OR(A9="",E9=""),"",TODAY()-E9)</f>
        <v/>
      </c>
      <c r="N9" s="22">
        <f>IF(OR(H9="",I9=""),"",I9-H9)</f>
        <v/>
      </c>
      <c r="O9" s="22">
        <f>IF(OR(F9="",G9=""),"",IF(G9-F9&gt;Settings!$B$8,"CRM activity, no buyer contact",""))</f>
        <v/>
      </c>
      <c r="P9" s="22">
        <f>IF(A9="","",IF(OR(C9="Closed won",C9="Closed lost"),"Closed",IF(L9="","Check dates",IF(L9&gt;=Settings!$B$5,"Likely dead",IF(L9&gt;=Settings!$B$4,"Dormant","Active")))))</f>
        <v/>
      </c>
      <c r="Q9" s="22">
        <f>IF(OR(P9="Dormant",P9="Likely dead"),ROUND(100*IFERROR(VLOOKUP(C9,Settings!$D$4:$E$8,2,FALSE),0.3)*MIN(1,N(D9)/Settings!$B$7)*IF(P9="Dormant",1-0.5*(L9-Settings!$B$4)/MAX(1,Settings!$B$5-Settings!$B$4),0.25),0),"")</f>
        <v/>
      </c>
      <c r="R9" s="22">
        <f>IF(P9="Dormant",IF(AND(N(D9)&gt;=Settings!$B$6,N(Q9)&gt;=40),"Re-engage now",IF(N(D9)&gt;=Settings!$B$6,"Investigate, then decide","Low value: batch or close")),IF(P9="Likely dead","Close out or recycle to nurture",IF(P9="Active","Leave: active",IF(P9="Check dates","Add dates",""))))</f>
        <v/>
      </c>
      <c r="S9" s="23">
        <f>IF(OR(R9="Re-engage now",R9="Investigate, then decide"),Q9+ROW()/1000000,"")</f>
        <v/>
      </c>
    </row>
    <row r="10">
      <c r="A10" s="24" t="n"/>
      <c r="B10" s="24" t="n"/>
      <c r="C10" s="24" t="n"/>
      <c r="D10" s="25" t="n"/>
      <c r="E10" s="26" t="n"/>
      <c r="F10" s="26" t="n"/>
      <c r="G10" s="26" t="n"/>
      <c r="H10" s="26" t="n"/>
      <c r="I10" s="26" t="n"/>
      <c r="J10" s="24" t="n"/>
      <c r="K10" s="24" t="n"/>
      <c r="L10" s="22">
        <f>IF(A10="","",IF(AND(F10="",E10=""),"",TODAY()-IF(F10="",E10,F10)))</f>
        <v/>
      </c>
      <c r="M10" s="22">
        <f>IF(OR(A10="",E10=""),"",TODAY()-E10)</f>
        <v/>
      </c>
      <c r="N10" s="22">
        <f>IF(OR(H10="",I10=""),"",I10-H10)</f>
        <v/>
      </c>
      <c r="O10" s="22">
        <f>IF(OR(F10="",G10=""),"",IF(G10-F10&gt;Settings!$B$8,"CRM activity, no buyer contact",""))</f>
        <v/>
      </c>
      <c r="P10" s="22">
        <f>IF(A10="","",IF(OR(C10="Closed won",C10="Closed lost"),"Closed",IF(L10="","Check dates",IF(L10&gt;=Settings!$B$5,"Likely dead",IF(L10&gt;=Settings!$B$4,"Dormant","Active")))))</f>
        <v/>
      </c>
      <c r="Q10" s="22">
        <f>IF(OR(P10="Dormant",P10="Likely dead"),ROUND(100*IFERROR(VLOOKUP(C10,Settings!$D$4:$E$8,2,FALSE),0.3)*MIN(1,N(D10)/Settings!$B$7)*IF(P10="Dormant",1-0.5*(L10-Settings!$B$4)/MAX(1,Settings!$B$5-Settings!$B$4),0.25),0),"")</f>
        <v/>
      </c>
      <c r="R10" s="22">
        <f>IF(P10="Dormant",IF(AND(N(D10)&gt;=Settings!$B$6,N(Q10)&gt;=40),"Re-engage now",IF(N(D10)&gt;=Settings!$B$6,"Investigate, then decide","Low value: batch or close")),IF(P10="Likely dead","Close out or recycle to nurture",IF(P10="Active","Leave: active",IF(P10="Check dates","Add dates",""))))</f>
        <v/>
      </c>
      <c r="S10" s="23">
        <f>IF(OR(R10="Re-engage now",R10="Investigate, then decide"),Q10+ROW()/1000000,"")</f>
        <v/>
      </c>
    </row>
    <row r="11">
      <c r="A11" s="24" t="n"/>
      <c r="B11" s="24" t="n"/>
      <c r="C11" s="24" t="n"/>
      <c r="D11" s="25" t="n"/>
      <c r="E11" s="26" t="n"/>
      <c r="F11" s="26" t="n"/>
      <c r="G11" s="26" t="n"/>
      <c r="H11" s="26" t="n"/>
      <c r="I11" s="26" t="n"/>
      <c r="J11" s="24" t="n"/>
      <c r="K11" s="24" t="n"/>
      <c r="L11" s="22">
        <f>IF(A11="","",IF(AND(F11="",E11=""),"",TODAY()-IF(F11="",E11,F11)))</f>
        <v/>
      </c>
      <c r="M11" s="22">
        <f>IF(OR(A11="",E11=""),"",TODAY()-E11)</f>
        <v/>
      </c>
      <c r="N11" s="22">
        <f>IF(OR(H11="",I11=""),"",I11-H11)</f>
        <v/>
      </c>
      <c r="O11" s="22">
        <f>IF(OR(F11="",G11=""),"",IF(G11-F11&gt;Settings!$B$8,"CRM activity, no buyer contact",""))</f>
        <v/>
      </c>
      <c r="P11" s="22">
        <f>IF(A11="","",IF(OR(C11="Closed won",C11="Closed lost"),"Closed",IF(L11="","Check dates",IF(L11&gt;=Settings!$B$5,"Likely dead",IF(L11&gt;=Settings!$B$4,"Dormant","Active")))))</f>
        <v/>
      </c>
      <c r="Q11" s="22">
        <f>IF(OR(P11="Dormant",P11="Likely dead"),ROUND(100*IFERROR(VLOOKUP(C11,Settings!$D$4:$E$8,2,FALSE),0.3)*MIN(1,N(D11)/Settings!$B$7)*IF(P11="Dormant",1-0.5*(L11-Settings!$B$4)/MAX(1,Settings!$B$5-Settings!$B$4),0.25),0),"")</f>
        <v/>
      </c>
      <c r="R11" s="22">
        <f>IF(P11="Dormant",IF(AND(N(D11)&gt;=Settings!$B$6,N(Q11)&gt;=40),"Re-engage now",IF(N(D11)&gt;=Settings!$B$6,"Investigate, then decide","Low value: batch or close")),IF(P11="Likely dead","Close out or recycle to nurture",IF(P11="Active","Leave: active",IF(P11="Check dates","Add dates",""))))</f>
        <v/>
      </c>
      <c r="S11" s="23">
        <f>IF(OR(R11="Re-engage now",R11="Investigate, then decide"),Q11+ROW()/1000000,"")</f>
        <v/>
      </c>
    </row>
    <row r="12">
      <c r="A12" s="24" t="n"/>
      <c r="B12" s="24" t="n"/>
      <c r="C12" s="24" t="n"/>
      <c r="D12" s="25" t="n"/>
      <c r="E12" s="26" t="n"/>
      <c r="F12" s="26" t="n"/>
      <c r="G12" s="26" t="n"/>
      <c r="H12" s="26" t="n"/>
      <c r="I12" s="26" t="n"/>
      <c r="J12" s="24" t="n"/>
      <c r="K12" s="24" t="n"/>
      <c r="L12" s="22">
        <f>IF(A12="","",IF(AND(F12="",E12=""),"",TODAY()-IF(F12="",E12,F12)))</f>
        <v/>
      </c>
      <c r="M12" s="22">
        <f>IF(OR(A12="",E12=""),"",TODAY()-E12)</f>
        <v/>
      </c>
      <c r="N12" s="22">
        <f>IF(OR(H12="",I12=""),"",I12-H12)</f>
        <v/>
      </c>
      <c r="O12" s="22">
        <f>IF(OR(F12="",G12=""),"",IF(G12-F12&gt;Settings!$B$8,"CRM activity, no buyer contact",""))</f>
        <v/>
      </c>
      <c r="P12" s="22">
        <f>IF(A12="","",IF(OR(C12="Closed won",C12="Closed lost"),"Closed",IF(L12="","Check dates",IF(L12&gt;=Settings!$B$5,"Likely dead",IF(L12&gt;=Settings!$B$4,"Dormant","Active")))))</f>
        <v/>
      </c>
      <c r="Q12" s="22">
        <f>IF(OR(P12="Dormant",P12="Likely dead"),ROUND(100*IFERROR(VLOOKUP(C12,Settings!$D$4:$E$8,2,FALSE),0.3)*MIN(1,N(D12)/Settings!$B$7)*IF(P12="Dormant",1-0.5*(L12-Settings!$B$4)/MAX(1,Settings!$B$5-Settings!$B$4),0.25),0),"")</f>
        <v/>
      </c>
      <c r="R12" s="22">
        <f>IF(P12="Dormant",IF(AND(N(D12)&gt;=Settings!$B$6,N(Q12)&gt;=40),"Re-engage now",IF(N(D12)&gt;=Settings!$B$6,"Investigate, then decide","Low value: batch or close")),IF(P12="Likely dead","Close out or recycle to nurture",IF(P12="Active","Leave: active",IF(P12="Check dates","Add dates",""))))</f>
        <v/>
      </c>
      <c r="S12" s="23">
        <f>IF(OR(R12="Re-engage now",R12="Investigate, then decide"),Q12+ROW()/1000000,"")</f>
        <v/>
      </c>
    </row>
    <row r="13">
      <c r="A13" s="24" t="n"/>
      <c r="B13" s="24" t="n"/>
      <c r="C13" s="24" t="n"/>
      <c r="D13" s="25" t="n"/>
      <c r="E13" s="26" t="n"/>
      <c r="F13" s="26" t="n"/>
      <c r="G13" s="26" t="n"/>
      <c r="H13" s="26" t="n"/>
      <c r="I13" s="26" t="n"/>
      <c r="J13" s="24" t="n"/>
      <c r="K13" s="24" t="n"/>
      <c r="L13" s="22">
        <f>IF(A13="","",IF(AND(F13="",E13=""),"",TODAY()-IF(F13="",E13,F13)))</f>
        <v/>
      </c>
      <c r="M13" s="22">
        <f>IF(OR(A13="",E13=""),"",TODAY()-E13)</f>
        <v/>
      </c>
      <c r="N13" s="22">
        <f>IF(OR(H13="",I13=""),"",I13-H13)</f>
        <v/>
      </c>
      <c r="O13" s="22">
        <f>IF(OR(F13="",G13=""),"",IF(G13-F13&gt;Settings!$B$8,"CRM activity, no buyer contact",""))</f>
        <v/>
      </c>
      <c r="P13" s="22">
        <f>IF(A13="","",IF(OR(C13="Closed won",C13="Closed lost"),"Closed",IF(L13="","Check dates",IF(L13&gt;=Settings!$B$5,"Likely dead",IF(L13&gt;=Settings!$B$4,"Dormant","Active")))))</f>
        <v/>
      </c>
      <c r="Q13" s="22">
        <f>IF(OR(P13="Dormant",P13="Likely dead"),ROUND(100*IFERROR(VLOOKUP(C13,Settings!$D$4:$E$8,2,FALSE),0.3)*MIN(1,N(D13)/Settings!$B$7)*IF(P13="Dormant",1-0.5*(L13-Settings!$B$4)/MAX(1,Settings!$B$5-Settings!$B$4),0.25),0),"")</f>
        <v/>
      </c>
      <c r="R13" s="22">
        <f>IF(P13="Dormant",IF(AND(N(D13)&gt;=Settings!$B$6,N(Q13)&gt;=40),"Re-engage now",IF(N(D13)&gt;=Settings!$B$6,"Investigate, then decide","Low value: batch or close")),IF(P13="Likely dead","Close out or recycle to nurture",IF(P13="Active","Leave: active",IF(P13="Check dates","Add dates",""))))</f>
        <v/>
      </c>
      <c r="S13" s="23">
        <f>IF(OR(R13="Re-engage now",R13="Investigate, then decide"),Q13+ROW()/1000000,"")</f>
        <v/>
      </c>
    </row>
    <row r="14">
      <c r="A14" s="24" t="n"/>
      <c r="B14" s="24" t="n"/>
      <c r="C14" s="24" t="n"/>
      <c r="D14" s="25" t="n"/>
      <c r="E14" s="26" t="n"/>
      <c r="F14" s="26" t="n"/>
      <c r="G14" s="26" t="n"/>
      <c r="H14" s="26" t="n"/>
      <c r="I14" s="26" t="n"/>
      <c r="J14" s="24" t="n"/>
      <c r="K14" s="24" t="n"/>
      <c r="L14" s="22">
        <f>IF(A14="","",IF(AND(F14="",E14=""),"",TODAY()-IF(F14="",E14,F14)))</f>
        <v/>
      </c>
      <c r="M14" s="22">
        <f>IF(OR(A14="",E14=""),"",TODAY()-E14)</f>
        <v/>
      </c>
      <c r="N14" s="22">
        <f>IF(OR(H14="",I14=""),"",I14-H14)</f>
        <v/>
      </c>
      <c r="O14" s="22">
        <f>IF(OR(F14="",G14=""),"",IF(G14-F14&gt;Settings!$B$8,"CRM activity, no buyer contact",""))</f>
        <v/>
      </c>
      <c r="P14" s="22">
        <f>IF(A14="","",IF(OR(C14="Closed won",C14="Closed lost"),"Closed",IF(L14="","Check dates",IF(L14&gt;=Settings!$B$5,"Likely dead",IF(L14&gt;=Settings!$B$4,"Dormant","Active")))))</f>
        <v/>
      </c>
      <c r="Q14" s="22">
        <f>IF(OR(P14="Dormant",P14="Likely dead"),ROUND(100*IFERROR(VLOOKUP(C14,Settings!$D$4:$E$8,2,FALSE),0.3)*MIN(1,N(D14)/Settings!$B$7)*IF(P14="Dormant",1-0.5*(L14-Settings!$B$4)/MAX(1,Settings!$B$5-Settings!$B$4),0.25),0),"")</f>
        <v/>
      </c>
      <c r="R14" s="22">
        <f>IF(P14="Dormant",IF(AND(N(D14)&gt;=Settings!$B$6,N(Q14)&gt;=40),"Re-engage now",IF(N(D14)&gt;=Settings!$B$6,"Investigate, then decide","Low value: batch or close")),IF(P14="Likely dead","Close out or recycle to nurture",IF(P14="Active","Leave: active",IF(P14="Check dates","Add dates",""))))</f>
        <v/>
      </c>
      <c r="S14" s="23">
        <f>IF(OR(R14="Re-engage now",R14="Investigate, then decide"),Q14+ROW()/1000000,"")</f>
        <v/>
      </c>
    </row>
    <row r="15">
      <c r="A15" s="24" t="n"/>
      <c r="B15" s="24" t="n"/>
      <c r="C15" s="24" t="n"/>
      <c r="D15" s="25" t="n"/>
      <c r="E15" s="26" t="n"/>
      <c r="F15" s="26" t="n"/>
      <c r="G15" s="26" t="n"/>
      <c r="H15" s="26" t="n"/>
      <c r="I15" s="26" t="n"/>
      <c r="J15" s="24" t="n"/>
      <c r="K15" s="24" t="n"/>
      <c r="L15" s="22">
        <f>IF(A15="","",IF(AND(F15="",E15=""),"",TODAY()-IF(F15="",E15,F15)))</f>
        <v/>
      </c>
      <c r="M15" s="22">
        <f>IF(OR(A15="",E15=""),"",TODAY()-E15)</f>
        <v/>
      </c>
      <c r="N15" s="22">
        <f>IF(OR(H15="",I15=""),"",I15-H15)</f>
        <v/>
      </c>
      <c r="O15" s="22">
        <f>IF(OR(F15="",G15=""),"",IF(G15-F15&gt;Settings!$B$8,"CRM activity, no buyer contact",""))</f>
        <v/>
      </c>
      <c r="P15" s="22">
        <f>IF(A15="","",IF(OR(C15="Closed won",C15="Closed lost"),"Closed",IF(L15="","Check dates",IF(L15&gt;=Settings!$B$5,"Likely dead",IF(L15&gt;=Settings!$B$4,"Dormant","Active")))))</f>
        <v/>
      </c>
      <c r="Q15" s="22">
        <f>IF(OR(P15="Dormant",P15="Likely dead"),ROUND(100*IFERROR(VLOOKUP(C15,Settings!$D$4:$E$8,2,FALSE),0.3)*MIN(1,N(D15)/Settings!$B$7)*IF(P15="Dormant",1-0.5*(L15-Settings!$B$4)/MAX(1,Settings!$B$5-Settings!$B$4),0.25),0),"")</f>
        <v/>
      </c>
      <c r="R15" s="22">
        <f>IF(P15="Dormant",IF(AND(N(D15)&gt;=Settings!$B$6,N(Q15)&gt;=40),"Re-engage now",IF(N(D15)&gt;=Settings!$B$6,"Investigate, then decide","Low value: batch or close")),IF(P15="Likely dead","Close out or recycle to nurture",IF(P15="Active","Leave: active",IF(P15="Check dates","Add dates",""))))</f>
        <v/>
      </c>
      <c r="S15" s="23">
        <f>IF(OR(R15="Re-engage now",R15="Investigate, then decide"),Q15+ROW()/1000000,"")</f>
        <v/>
      </c>
    </row>
    <row r="16">
      <c r="A16" s="24" t="n"/>
      <c r="B16" s="24" t="n"/>
      <c r="C16" s="24" t="n"/>
      <c r="D16" s="25" t="n"/>
      <c r="E16" s="26" t="n"/>
      <c r="F16" s="26" t="n"/>
      <c r="G16" s="26" t="n"/>
      <c r="H16" s="26" t="n"/>
      <c r="I16" s="26" t="n"/>
      <c r="J16" s="24" t="n"/>
      <c r="K16" s="24" t="n"/>
      <c r="L16" s="22">
        <f>IF(A16="","",IF(AND(F16="",E16=""),"",TODAY()-IF(F16="",E16,F16)))</f>
        <v/>
      </c>
      <c r="M16" s="22">
        <f>IF(OR(A16="",E16=""),"",TODAY()-E16)</f>
        <v/>
      </c>
      <c r="N16" s="22">
        <f>IF(OR(H16="",I16=""),"",I16-H16)</f>
        <v/>
      </c>
      <c r="O16" s="22">
        <f>IF(OR(F16="",G16=""),"",IF(G16-F16&gt;Settings!$B$8,"CRM activity, no buyer contact",""))</f>
        <v/>
      </c>
      <c r="P16" s="22">
        <f>IF(A16="","",IF(OR(C16="Closed won",C16="Closed lost"),"Closed",IF(L16="","Check dates",IF(L16&gt;=Settings!$B$5,"Likely dead",IF(L16&gt;=Settings!$B$4,"Dormant","Active")))))</f>
        <v/>
      </c>
      <c r="Q16" s="22">
        <f>IF(OR(P16="Dormant",P16="Likely dead"),ROUND(100*IFERROR(VLOOKUP(C16,Settings!$D$4:$E$8,2,FALSE),0.3)*MIN(1,N(D16)/Settings!$B$7)*IF(P16="Dormant",1-0.5*(L16-Settings!$B$4)/MAX(1,Settings!$B$5-Settings!$B$4),0.25),0),"")</f>
        <v/>
      </c>
      <c r="R16" s="22">
        <f>IF(P16="Dormant",IF(AND(N(D16)&gt;=Settings!$B$6,N(Q16)&gt;=40),"Re-engage now",IF(N(D16)&gt;=Settings!$B$6,"Investigate, then decide","Low value: batch or close")),IF(P16="Likely dead","Close out or recycle to nurture",IF(P16="Active","Leave: active",IF(P16="Check dates","Add dates",""))))</f>
        <v/>
      </c>
      <c r="S16" s="23">
        <f>IF(OR(R16="Re-engage now",R16="Investigate, then decide"),Q16+ROW()/1000000,"")</f>
        <v/>
      </c>
    </row>
    <row r="17">
      <c r="A17" s="24" t="n"/>
      <c r="B17" s="24" t="n"/>
      <c r="C17" s="24" t="n"/>
      <c r="D17" s="25" t="n"/>
      <c r="E17" s="26" t="n"/>
      <c r="F17" s="26" t="n"/>
      <c r="G17" s="26" t="n"/>
      <c r="H17" s="26" t="n"/>
      <c r="I17" s="26" t="n"/>
      <c r="J17" s="24" t="n"/>
      <c r="K17" s="24" t="n"/>
      <c r="L17" s="22">
        <f>IF(A17="","",IF(AND(F17="",E17=""),"",TODAY()-IF(F17="",E17,F17)))</f>
        <v/>
      </c>
      <c r="M17" s="22">
        <f>IF(OR(A17="",E17=""),"",TODAY()-E17)</f>
        <v/>
      </c>
      <c r="N17" s="22">
        <f>IF(OR(H17="",I17=""),"",I17-H17)</f>
        <v/>
      </c>
      <c r="O17" s="22">
        <f>IF(OR(F17="",G17=""),"",IF(G17-F17&gt;Settings!$B$8,"CRM activity, no buyer contact",""))</f>
        <v/>
      </c>
      <c r="P17" s="22">
        <f>IF(A17="","",IF(OR(C17="Closed won",C17="Closed lost"),"Closed",IF(L17="","Check dates",IF(L17&gt;=Settings!$B$5,"Likely dead",IF(L17&gt;=Settings!$B$4,"Dormant","Active")))))</f>
        <v/>
      </c>
      <c r="Q17" s="22">
        <f>IF(OR(P17="Dormant",P17="Likely dead"),ROUND(100*IFERROR(VLOOKUP(C17,Settings!$D$4:$E$8,2,FALSE),0.3)*MIN(1,N(D17)/Settings!$B$7)*IF(P17="Dormant",1-0.5*(L17-Settings!$B$4)/MAX(1,Settings!$B$5-Settings!$B$4),0.25),0),"")</f>
        <v/>
      </c>
      <c r="R17" s="22">
        <f>IF(P17="Dormant",IF(AND(N(D17)&gt;=Settings!$B$6,N(Q17)&gt;=40),"Re-engage now",IF(N(D17)&gt;=Settings!$B$6,"Investigate, then decide","Low value: batch or close")),IF(P17="Likely dead","Close out or recycle to nurture",IF(P17="Active","Leave: active",IF(P17="Check dates","Add dates",""))))</f>
        <v/>
      </c>
      <c r="S17" s="23">
        <f>IF(OR(R17="Re-engage now",R17="Investigate, then decide"),Q17+ROW()/1000000,"")</f>
        <v/>
      </c>
    </row>
    <row r="18">
      <c r="A18" s="24" t="n"/>
      <c r="B18" s="24" t="n"/>
      <c r="C18" s="24" t="n"/>
      <c r="D18" s="25" t="n"/>
      <c r="E18" s="26" t="n"/>
      <c r="F18" s="26" t="n"/>
      <c r="G18" s="26" t="n"/>
      <c r="H18" s="26" t="n"/>
      <c r="I18" s="26" t="n"/>
      <c r="J18" s="24" t="n"/>
      <c r="K18" s="24" t="n"/>
      <c r="L18" s="22">
        <f>IF(A18="","",IF(AND(F18="",E18=""),"",TODAY()-IF(F18="",E18,F18)))</f>
        <v/>
      </c>
      <c r="M18" s="22">
        <f>IF(OR(A18="",E18=""),"",TODAY()-E18)</f>
        <v/>
      </c>
      <c r="N18" s="22">
        <f>IF(OR(H18="",I18=""),"",I18-H18)</f>
        <v/>
      </c>
      <c r="O18" s="22">
        <f>IF(OR(F18="",G18=""),"",IF(G18-F18&gt;Settings!$B$8,"CRM activity, no buyer contact",""))</f>
        <v/>
      </c>
      <c r="P18" s="22">
        <f>IF(A18="","",IF(OR(C18="Closed won",C18="Closed lost"),"Closed",IF(L18="","Check dates",IF(L18&gt;=Settings!$B$5,"Likely dead",IF(L18&gt;=Settings!$B$4,"Dormant","Active")))))</f>
        <v/>
      </c>
      <c r="Q18" s="22">
        <f>IF(OR(P18="Dormant",P18="Likely dead"),ROUND(100*IFERROR(VLOOKUP(C18,Settings!$D$4:$E$8,2,FALSE),0.3)*MIN(1,N(D18)/Settings!$B$7)*IF(P18="Dormant",1-0.5*(L18-Settings!$B$4)/MAX(1,Settings!$B$5-Settings!$B$4),0.25),0),"")</f>
        <v/>
      </c>
      <c r="R18" s="22">
        <f>IF(P18="Dormant",IF(AND(N(D18)&gt;=Settings!$B$6,N(Q18)&gt;=40),"Re-engage now",IF(N(D18)&gt;=Settings!$B$6,"Investigate, then decide","Low value: batch or close")),IF(P18="Likely dead","Close out or recycle to nurture",IF(P18="Active","Leave: active",IF(P18="Check dates","Add dates",""))))</f>
        <v/>
      </c>
      <c r="S18" s="23">
        <f>IF(OR(R18="Re-engage now",R18="Investigate, then decide"),Q18+ROW()/1000000,"")</f>
        <v/>
      </c>
    </row>
    <row r="19">
      <c r="A19" s="24" t="n"/>
      <c r="B19" s="24" t="n"/>
      <c r="C19" s="24" t="n"/>
      <c r="D19" s="25" t="n"/>
      <c r="E19" s="26" t="n"/>
      <c r="F19" s="26" t="n"/>
      <c r="G19" s="26" t="n"/>
      <c r="H19" s="26" t="n"/>
      <c r="I19" s="26" t="n"/>
      <c r="J19" s="24" t="n"/>
      <c r="K19" s="24" t="n"/>
      <c r="L19" s="22">
        <f>IF(A19="","",IF(AND(F19="",E19=""),"",TODAY()-IF(F19="",E19,F19)))</f>
        <v/>
      </c>
      <c r="M19" s="22">
        <f>IF(OR(A19="",E19=""),"",TODAY()-E19)</f>
        <v/>
      </c>
      <c r="N19" s="22">
        <f>IF(OR(H19="",I19=""),"",I19-H19)</f>
        <v/>
      </c>
      <c r="O19" s="22">
        <f>IF(OR(F19="",G19=""),"",IF(G19-F19&gt;Settings!$B$8,"CRM activity, no buyer contact",""))</f>
        <v/>
      </c>
      <c r="P19" s="22">
        <f>IF(A19="","",IF(OR(C19="Closed won",C19="Closed lost"),"Closed",IF(L19="","Check dates",IF(L19&gt;=Settings!$B$5,"Likely dead",IF(L19&gt;=Settings!$B$4,"Dormant","Active")))))</f>
        <v/>
      </c>
      <c r="Q19" s="22">
        <f>IF(OR(P19="Dormant",P19="Likely dead"),ROUND(100*IFERROR(VLOOKUP(C19,Settings!$D$4:$E$8,2,FALSE),0.3)*MIN(1,N(D19)/Settings!$B$7)*IF(P19="Dormant",1-0.5*(L19-Settings!$B$4)/MAX(1,Settings!$B$5-Settings!$B$4),0.25),0),"")</f>
        <v/>
      </c>
      <c r="R19" s="22">
        <f>IF(P19="Dormant",IF(AND(N(D19)&gt;=Settings!$B$6,N(Q19)&gt;=40),"Re-engage now",IF(N(D19)&gt;=Settings!$B$6,"Investigate, then decide","Low value: batch or close")),IF(P19="Likely dead","Close out or recycle to nurture",IF(P19="Active","Leave: active",IF(P19="Check dates","Add dates",""))))</f>
        <v/>
      </c>
      <c r="S19" s="23">
        <f>IF(OR(R19="Re-engage now",R19="Investigate, then decide"),Q19+ROW()/1000000,"")</f>
        <v/>
      </c>
    </row>
    <row r="20">
      <c r="A20" s="24" t="n"/>
      <c r="B20" s="24" t="n"/>
      <c r="C20" s="24" t="n"/>
      <c r="D20" s="25" t="n"/>
      <c r="E20" s="26" t="n"/>
      <c r="F20" s="26" t="n"/>
      <c r="G20" s="26" t="n"/>
      <c r="H20" s="26" t="n"/>
      <c r="I20" s="26" t="n"/>
      <c r="J20" s="24" t="n"/>
      <c r="K20" s="24" t="n"/>
      <c r="L20" s="22">
        <f>IF(A20="","",IF(AND(F20="",E20=""),"",TODAY()-IF(F20="",E20,F20)))</f>
        <v/>
      </c>
      <c r="M20" s="22">
        <f>IF(OR(A20="",E20=""),"",TODAY()-E20)</f>
        <v/>
      </c>
      <c r="N20" s="22">
        <f>IF(OR(H20="",I20=""),"",I20-H20)</f>
        <v/>
      </c>
      <c r="O20" s="22">
        <f>IF(OR(F20="",G20=""),"",IF(G20-F20&gt;Settings!$B$8,"CRM activity, no buyer contact",""))</f>
        <v/>
      </c>
      <c r="P20" s="22">
        <f>IF(A20="","",IF(OR(C20="Closed won",C20="Closed lost"),"Closed",IF(L20="","Check dates",IF(L20&gt;=Settings!$B$5,"Likely dead",IF(L20&gt;=Settings!$B$4,"Dormant","Active")))))</f>
        <v/>
      </c>
      <c r="Q20" s="22">
        <f>IF(OR(P20="Dormant",P20="Likely dead"),ROUND(100*IFERROR(VLOOKUP(C20,Settings!$D$4:$E$8,2,FALSE),0.3)*MIN(1,N(D20)/Settings!$B$7)*IF(P20="Dormant",1-0.5*(L20-Settings!$B$4)/MAX(1,Settings!$B$5-Settings!$B$4),0.25),0),"")</f>
        <v/>
      </c>
      <c r="R20" s="22">
        <f>IF(P20="Dormant",IF(AND(N(D20)&gt;=Settings!$B$6,N(Q20)&gt;=40),"Re-engage now",IF(N(D20)&gt;=Settings!$B$6,"Investigate, then decide","Low value: batch or close")),IF(P20="Likely dead","Close out or recycle to nurture",IF(P20="Active","Leave: active",IF(P20="Check dates","Add dates",""))))</f>
        <v/>
      </c>
      <c r="S20" s="23">
        <f>IF(OR(R20="Re-engage now",R20="Investigate, then decide"),Q20+ROW()/1000000,"")</f>
        <v/>
      </c>
    </row>
    <row r="21">
      <c r="A21" s="24" t="n"/>
      <c r="B21" s="24" t="n"/>
      <c r="C21" s="24" t="n"/>
      <c r="D21" s="25" t="n"/>
      <c r="E21" s="26" t="n"/>
      <c r="F21" s="26" t="n"/>
      <c r="G21" s="26" t="n"/>
      <c r="H21" s="26" t="n"/>
      <c r="I21" s="26" t="n"/>
      <c r="J21" s="24" t="n"/>
      <c r="K21" s="24" t="n"/>
      <c r="L21" s="22">
        <f>IF(A21="","",IF(AND(F21="",E21=""),"",TODAY()-IF(F21="",E21,F21)))</f>
        <v/>
      </c>
      <c r="M21" s="22">
        <f>IF(OR(A21="",E21=""),"",TODAY()-E21)</f>
        <v/>
      </c>
      <c r="N21" s="22">
        <f>IF(OR(H21="",I21=""),"",I21-H21)</f>
        <v/>
      </c>
      <c r="O21" s="22">
        <f>IF(OR(F21="",G21=""),"",IF(G21-F21&gt;Settings!$B$8,"CRM activity, no buyer contact",""))</f>
        <v/>
      </c>
      <c r="P21" s="22">
        <f>IF(A21="","",IF(OR(C21="Closed won",C21="Closed lost"),"Closed",IF(L21="","Check dates",IF(L21&gt;=Settings!$B$5,"Likely dead",IF(L21&gt;=Settings!$B$4,"Dormant","Active")))))</f>
        <v/>
      </c>
      <c r="Q21" s="22">
        <f>IF(OR(P21="Dormant",P21="Likely dead"),ROUND(100*IFERROR(VLOOKUP(C21,Settings!$D$4:$E$8,2,FALSE),0.3)*MIN(1,N(D21)/Settings!$B$7)*IF(P21="Dormant",1-0.5*(L21-Settings!$B$4)/MAX(1,Settings!$B$5-Settings!$B$4),0.25),0),"")</f>
        <v/>
      </c>
      <c r="R21" s="22">
        <f>IF(P21="Dormant",IF(AND(N(D21)&gt;=Settings!$B$6,N(Q21)&gt;=40),"Re-engage now",IF(N(D21)&gt;=Settings!$B$6,"Investigate, then decide","Low value: batch or close")),IF(P21="Likely dead","Close out or recycle to nurture",IF(P21="Active","Leave: active",IF(P21="Check dates","Add dates",""))))</f>
        <v/>
      </c>
      <c r="S21" s="23">
        <f>IF(OR(R21="Re-engage now",R21="Investigate, then decide"),Q21+ROW()/1000000,"")</f>
        <v/>
      </c>
    </row>
    <row r="22">
      <c r="A22" s="24" t="n"/>
      <c r="B22" s="24" t="n"/>
      <c r="C22" s="24" t="n"/>
      <c r="D22" s="25" t="n"/>
      <c r="E22" s="26" t="n"/>
      <c r="F22" s="26" t="n"/>
      <c r="G22" s="26" t="n"/>
      <c r="H22" s="26" t="n"/>
      <c r="I22" s="26" t="n"/>
      <c r="J22" s="24" t="n"/>
      <c r="K22" s="24" t="n"/>
      <c r="L22" s="22">
        <f>IF(A22="","",IF(AND(F22="",E22=""),"",TODAY()-IF(F22="",E22,F22)))</f>
        <v/>
      </c>
      <c r="M22" s="22">
        <f>IF(OR(A22="",E22=""),"",TODAY()-E22)</f>
        <v/>
      </c>
      <c r="N22" s="22">
        <f>IF(OR(H22="",I22=""),"",I22-H22)</f>
        <v/>
      </c>
      <c r="O22" s="22">
        <f>IF(OR(F22="",G22=""),"",IF(G22-F22&gt;Settings!$B$8,"CRM activity, no buyer contact",""))</f>
        <v/>
      </c>
      <c r="P22" s="22">
        <f>IF(A22="","",IF(OR(C22="Closed won",C22="Closed lost"),"Closed",IF(L22="","Check dates",IF(L22&gt;=Settings!$B$5,"Likely dead",IF(L22&gt;=Settings!$B$4,"Dormant","Active")))))</f>
        <v/>
      </c>
      <c r="Q22" s="22">
        <f>IF(OR(P22="Dormant",P22="Likely dead"),ROUND(100*IFERROR(VLOOKUP(C22,Settings!$D$4:$E$8,2,FALSE),0.3)*MIN(1,N(D22)/Settings!$B$7)*IF(P22="Dormant",1-0.5*(L22-Settings!$B$4)/MAX(1,Settings!$B$5-Settings!$B$4),0.25),0),"")</f>
        <v/>
      </c>
      <c r="R22" s="22">
        <f>IF(P22="Dormant",IF(AND(N(D22)&gt;=Settings!$B$6,N(Q22)&gt;=40),"Re-engage now",IF(N(D22)&gt;=Settings!$B$6,"Investigate, then decide","Low value: batch or close")),IF(P22="Likely dead","Close out or recycle to nurture",IF(P22="Active","Leave: active",IF(P22="Check dates","Add dates",""))))</f>
        <v/>
      </c>
      <c r="S22" s="23">
        <f>IF(OR(R22="Re-engage now",R22="Investigate, then decide"),Q22+ROW()/1000000,"")</f>
        <v/>
      </c>
    </row>
    <row r="23">
      <c r="A23" s="24" t="n"/>
      <c r="B23" s="24" t="n"/>
      <c r="C23" s="24" t="n"/>
      <c r="D23" s="25" t="n"/>
      <c r="E23" s="26" t="n"/>
      <c r="F23" s="26" t="n"/>
      <c r="G23" s="26" t="n"/>
      <c r="H23" s="26" t="n"/>
      <c r="I23" s="26" t="n"/>
      <c r="J23" s="24" t="n"/>
      <c r="K23" s="24" t="n"/>
      <c r="L23" s="22">
        <f>IF(A23="","",IF(AND(F23="",E23=""),"",TODAY()-IF(F23="",E23,F23)))</f>
        <v/>
      </c>
      <c r="M23" s="22">
        <f>IF(OR(A23="",E23=""),"",TODAY()-E23)</f>
        <v/>
      </c>
      <c r="N23" s="22">
        <f>IF(OR(H23="",I23=""),"",I23-H23)</f>
        <v/>
      </c>
      <c r="O23" s="22">
        <f>IF(OR(F23="",G23=""),"",IF(G23-F23&gt;Settings!$B$8,"CRM activity, no buyer contact",""))</f>
        <v/>
      </c>
      <c r="P23" s="22">
        <f>IF(A23="","",IF(OR(C23="Closed won",C23="Closed lost"),"Closed",IF(L23="","Check dates",IF(L23&gt;=Settings!$B$5,"Likely dead",IF(L23&gt;=Settings!$B$4,"Dormant","Active")))))</f>
        <v/>
      </c>
      <c r="Q23" s="22">
        <f>IF(OR(P23="Dormant",P23="Likely dead"),ROUND(100*IFERROR(VLOOKUP(C23,Settings!$D$4:$E$8,2,FALSE),0.3)*MIN(1,N(D23)/Settings!$B$7)*IF(P23="Dormant",1-0.5*(L23-Settings!$B$4)/MAX(1,Settings!$B$5-Settings!$B$4),0.25),0),"")</f>
        <v/>
      </c>
      <c r="R23" s="22">
        <f>IF(P23="Dormant",IF(AND(N(D23)&gt;=Settings!$B$6,N(Q23)&gt;=40),"Re-engage now",IF(N(D23)&gt;=Settings!$B$6,"Investigate, then decide","Low value: batch or close")),IF(P23="Likely dead","Close out or recycle to nurture",IF(P23="Active","Leave: active",IF(P23="Check dates","Add dates",""))))</f>
        <v/>
      </c>
      <c r="S23" s="23">
        <f>IF(OR(R23="Re-engage now",R23="Investigate, then decide"),Q23+ROW()/1000000,"")</f>
        <v/>
      </c>
    </row>
    <row r="24">
      <c r="A24" s="24" t="n"/>
      <c r="B24" s="24" t="n"/>
      <c r="C24" s="24" t="n"/>
      <c r="D24" s="25" t="n"/>
      <c r="E24" s="26" t="n"/>
      <c r="F24" s="26" t="n"/>
      <c r="G24" s="26" t="n"/>
      <c r="H24" s="26" t="n"/>
      <c r="I24" s="26" t="n"/>
      <c r="J24" s="24" t="n"/>
      <c r="K24" s="24" t="n"/>
      <c r="L24" s="22">
        <f>IF(A24="","",IF(AND(F24="",E24=""),"",TODAY()-IF(F24="",E24,F24)))</f>
        <v/>
      </c>
      <c r="M24" s="22">
        <f>IF(OR(A24="",E24=""),"",TODAY()-E24)</f>
        <v/>
      </c>
      <c r="N24" s="22">
        <f>IF(OR(H24="",I24=""),"",I24-H24)</f>
        <v/>
      </c>
      <c r="O24" s="22">
        <f>IF(OR(F24="",G24=""),"",IF(G24-F24&gt;Settings!$B$8,"CRM activity, no buyer contact",""))</f>
        <v/>
      </c>
      <c r="P24" s="22">
        <f>IF(A24="","",IF(OR(C24="Closed won",C24="Closed lost"),"Closed",IF(L24="","Check dates",IF(L24&gt;=Settings!$B$5,"Likely dead",IF(L24&gt;=Settings!$B$4,"Dormant","Active")))))</f>
        <v/>
      </c>
      <c r="Q24" s="22">
        <f>IF(OR(P24="Dormant",P24="Likely dead"),ROUND(100*IFERROR(VLOOKUP(C24,Settings!$D$4:$E$8,2,FALSE),0.3)*MIN(1,N(D24)/Settings!$B$7)*IF(P24="Dormant",1-0.5*(L24-Settings!$B$4)/MAX(1,Settings!$B$5-Settings!$B$4),0.25),0),"")</f>
        <v/>
      </c>
      <c r="R24" s="22">
        <f>IF(P24="Dormant",IF(AND(N(D24)&gt;=Settings!$B$6,N(Q24)&gt;=40),"Re-engage now",IF(N(D24)&gt;=Settings!$B$6,"Investigate, then decide","Low value: batch or close")),IF(P24="Likely dead","Close out or recycle to nurture",IF(P24="Active","Leave: active",IF(P24="Check dates","Add dates",""))))</f>
        <v/>
      </c>
      <c r="S24" s="23">
        <f>IF(OR(R24="Re-engage now",R24="Investigate, then decide"),Q24+ROW()/1000000,"")</f>
        <v/>
      </c>
    </row>
    <row r="25">
      <c r="A25" s="24" t="n"/>
      <c r="B25" s="24" t="n"/>
      <c r="C25" s="24" t="n"/>
      <c r="D25" s="25" t="n"/>
      <c r="E25" s="26" t="n"/>
      <c r="F25" s="26" t="n"/>
      <c r="G25" s="26" t="n"/>
      <c r="H25" s="26" t="n"/>
      <c r="I25" s="26" t="n"/>
      <c r="J25" s="24" t="n"/>
      <c r="K25" s="24" t="n"/>
      <c r="L25" s="22">
        <f>IF(A25="","",IF(AND(F25="",E25=""),"",TODAY()-IF(F25="",E25,F25)))</f>
        <v/>
      </c>
      <c r="M25" s="22">
        <f>IF(OR(A25="",E25=""),"",TODAY()-E25)</f>
        <v/>
      </c>
      <c r="N25" s="22">
        <f>IF(OR(H25="",I25=""),"",I25-H25)</f>
        <v/>
      </c>
      <c r="O25" s="22">
        <f>IF(OR(F25="",G25=""),"",IF(G25-F25&gt;Settings!$B$8,"CRM activity, no buyer contact",""))</f>
        <v/>
      </c>
      <c r="P25" s="22">
        <f>IF(A25="","",IF(OR(C25="Closed won",C25="Closed lost"),"Closed",IF(L25="","Check dates",IF(L25&gt;=Settings!$B$5,"Likely dead",IF(L25&gt;=Settings!$B$4,"Dormant","Active")))))</f>
        <v/>
      </c>
      <c r="Q25" s="22">
        <f>IF(OR(P25="Dormant",P25="Likely dead"),ROUND(100*IFERROR(VLOOKUP(C25,Settings!$D$4:$E$8,2,FALSE),0.3)*MIN(1,N(D25)/Settings!$B$7)*IF(P25="Dormant",1-0.5*(L25-Settings!$B$4)/MAX(1,Settings!$B$5-Settings!$B$4),0.25),0),"")</f>
        <v/>
      </c>
      <c r="R25" s="22">
        <f>IF(P25="Dormant",IF(AND(N(D25)&gt;=Settings!$B$6,N(Q25)&gt;=40),"Re-engage now",IF(N(D25)&gt;=Settings!$B$6,"Investigate, then decide","Low value: batch or close")),IF(P25="Likely dead","Close out or recycle to nurture",IF(P25="Active","Leave: active",IF(P25="Check dates","Add dates",""))))</f>
        <v/>
      </c>
      <c r="S25" s="23">
        <f>IF(OR(R25="Re-engage now",R25="Investigate, then decide"),Q25+ROW()/1000000,"")</f>
        <v/>
      </c>
    </row>
    <row r="26">
      <c r="A26" s="24" t="n"/>
      <c r="B26" s="24" t="n"/>
      <c r="C26" s="24" t="n"/>
      <c r="D26" s="25" t="n"/>
      <c r="E26" s="26" t="n"/>
      <c r="F26" s="26" t="n"/>
      <c r="G26" s="26" t="n"/>
      <c r="H26" s="26" t="n"/>
      <c r="I26" s="26" t="n"/>
      <c r="J26" s="24" t="n"/>
      <c r="K26" s="24" t="n"/>
      <c r="L26" s="22">
        <f>IF(A26="","",IF(AND(F26="",E26=""),"",TODAY()-IF(F26="",E26,F26)))</f>
        <v/>
      </c>
      <c r="M26" s="22">
        <f>IF(OR(A26="",E26=""),"",TODAY()-E26)</f>
        <v/>
      </c>
      <c r="N26" s="22">
        <f>IF(OR(H26="",I26=""),"",I26-H26)</f>
        <v/>
      </c>
      <c r="O26" s="22">
        <f>IF(OR(F26="",G26=""),"",IF(G26-F26&gt;Settings!$B$8,"CRM activity, no buyer contact",""))</f>
        <v/>
      </c>
      <c r="P26" s="22">
        <f>IF(A26="","",IF(OR(C26="Closed won",C26="Closed lost"),"Closed",IF(L26="","Check dates",IF(L26&gt;=Settings!$B$5,"Likely dead",IF(L26&gt;=Settings!$B$4,"Dormant","Active")))))</f>
        <v/>
      </c>
      <c r="Q26" s="22">
        <f>IF(OR(P26="Dormant",P26="Likely dead"),ROUND(100*IFERROR(VLOOKUP(C26,Settings!$D$4:$E$8,2,FALSE),0.3)*MIN(1,N(D26)/Settings!$B$7)*IF(P26="Dormant",1-0.5*(L26-Settings!$B$4)/MAX(1,Settings!$B$5-Settings!$B$4),0.25),0),"")</f>
        <v/>
      </c>
      <c r="R26" s="22">
        <f>IF(P26="Dormant",IF(AND(N(D26)&gt;=Settings!$B$6,N(Q26)&gt;=40),"Re-engage now",IF(N(D26)&gt;=Settings!$B$6,"Investigate, then decide","Low value: batch or close")),IF(P26="Likely dead","Close out or recycle to nurture",IF(P26="Active","Leave: active",IF(P26="Check dates","Add dates",""))))</f>
        <v/>
      </c>
      <c r="S26" s="23">
        <f>IF(OR(R26="Re-engage now",R26="Investigate, then decide"),Q26+ROW()/1000000,"")</f>
        <v/>
      </c>
    </row>
    <row r="27">
      <c r="A27" s="24" t="n"/>
      <c r="B27" s="24" t="n"/>
      <c r="C27" s="24" t="n"/>
      <c r="D27" s="25" t="n"/>
      <c r="E27" s="26" t="n"/>
      <c r="F27" s="26" t="n"/>
      <c r="G27" s="26" t="n"/>
      <c r="H27" s="26" t="n"/>
      <c r="I27" s="26" t="n"/>
      <c r="J27" s="24" t="n"/>
      <c r="K27" s="24" t="n"/>
      <c r="L27" s="22">
        <f>IF(A27="","",IF(AND(F27="",E27=""),"",TODAY()-IF(F27="",E27,F27)))</f>
        <v/>
      </c>
      <c r="M27" s="22">
        <f>IF(OR(A27="",E27=""),"",TODAY()-E27)</f>
        <v/>
      </c>
      <c r="N27" s="22">
        <f>IF(OR(H27="",I27=""),"",I27-H27)</f>
        <v/>
      </c>
      <c r="O27" s="22">
        <f>IF(OR(F27="",G27=""),"",IF(G27-F27&gt;Settings!$B$8,"CRM activity, no buyer contact",""))</f>
        <v/>
      </c>
      <c r="P27" s="22">
        <f>IF(A27="","",IF(OR(C27="Closed won",C27="Closed lost"),"Closed",IF(L27="","Check dates",IF(L27&gt;=Settings!$B$5,"Likely dead",IF(L27&gt;=Settings!$B$4,"Dormant","Active")))))</f>
        <v/>
      </c>
      <c r="Q27" s="22">
        <f>IF(OR(P27="Dormant",P27="Likely dead"),ROUND(100*IFERROR(VLOOKUP(C27,Settings!$D$4:$E$8,2,FALSE),0.3)*MIN(1,N(D27)/Settings!$B$7)*IF(P27="Dormant",1-0.5*(L27-Settings!$B$4)/MAX(1,Settings!$B$5-Settings!$B$4),0.25),0),"")</f>
        <v/>
      </c>
      <c r="R27" s="22">
        <f>IF(P27="Dormant",IF(AND(N(D27)&gt;=Settings!$B$6,N(Q27)&gt;=40),"Re-engage now",IF(N(D27)&gt;=Settings!$B$6,"Investigate, then decide","Low value: batch or close")),IF(P27="Likely dead","Close out or recycle to nurture",IF(P27="Active","Leave: active",IF(P27="Check dates","Add dates",""))))</f>
        <v/>
      </c>
      <c r="S27" s="23">
        <f>IF(OR(R27="Re-engage now",R27="Investigate, then decide"),Q27+ROW()/1000000,"")</f>
        <v/>
      </c>
    </row>
    <row r="28">
      <c r="A28" s="24" t="n"/>
      <c r="B28" s="24" t="n"/>
      <c r="C28" s="24" t="n"/>
      <c r="D28" s="25" t="n"/>
      <c r="E28" s="26" t="n"/>
      <c r="F28" s="26" t="n"/>
      <c r="G28" s="26" t="n"/>
      <c r="H28" s="26" t="n"/>
      <c r="I28" s="26" t="n"/>
      <c r="J28" s="24" t="n"/>
      <c r="K28" s="24" t="n"/>
      <c r="L28" s="22">
        <f>IF(A28="","",IF(AND(F28="",E28=""),"",TODAY()-IF(F28="",E28,F28)))</f>
        <v/>
      </c>
      <c r="M28" s="22">
        <f>IF(OR(A28="",E28=""),"",TODAY()-E28)</f>
        <v/>
      </c>
      <c r="N28" s="22">
        <f>IF(OR(H28="",I28=""),"",I28-H28)</f>
        <v/>
      </c>
      <c r="O28" s="22">
        <f>IF(OR(F28="",G28=""),"",IF(G28-F28&gt;Settings!$B$8,"CRM activity, no buyer contact",""))</f>
        <v/>
      </c>
      <c r="P28" s="22">
        <f>IF(A28="","",IF(OR(C28="Closed won",C28="Closed lost"),"Closed",IF(L28="","Check dates",IF(L28&gt;=Settings!$B$5,"Likely dead",IF(L28&gt;=Settings!$B$4,"Dormant","Active")))))</f>
        <v/>
      </c>
      <c r="Q28" s="22">
        <f>IF(OR(P28="Dormant",P28="Likely dead"),ROUND(100*IFERROR(VLOOKUP(C28,Settings!$D$4:$E$8,2,FALSE),0.3)*MIN(1,N(D28)/Settings!$B$7)*IF(P28="Dormant",1-0.5*(L28-Settings!$B$4)/MAX(1,Settings!$B$5-Settings!$B$4),0.25),0),"")</f>
        <v/>
      </c>
      <c r="R28" s="22">
        <f>IF(P28="Dormant",IF(AND(N(D28)&gt;=Settings!$B$6,N(Q28)&gt;=40),"Re-engage now",IF(N(D28)&gt;=Settings!$B$6,"Investigate, then decide","Low value: batch or close")),IF(P28="Likely dead","Close out or recycle to nurture",IF(P28="Active","Leave: active",IF(P28="Check dates","Add dates",""))))</f>
        <v/>
      </c>
      <c r="S28" s="23">
        <f>IF(OR(R28="Re-engage now",R28="Investigate, then decide"),Q28+ROW()/1000000,"")</f>
        <v/>
      </c>
    </row>
    <row r="29">
      <c r="A29" s="24" t="n"/>
      <c r="B29" s="24" t="n"/>
      <c r="C29" s="24" t="n"/>
      <c r="D29" s="25" t="n"/>
      <c r="E29" s="26" t="n"/>
      <c r="F29" s="26" t="n"/>
      <c r="G29" s="26" t="n"/>
      <c r="H29" s="26" t="n"/>
      <c r="I29" s="26" t="n"/>
      <c r="J29" s="24" t="n"/>
      <c r="K29" s="24" t="n"/>
      <c r="L29" s="22">
        <f>IF(A29="","",IF(AND(F29="",E29=""),"",TODAY()-IF(F29="",E29,F29)))</f>
        <v/>
      </c>
      <c r="M29" s="22">
        <f>IF(OR(A29="",E29=""),"",TODAY()-E29)</f>
        <v/>
      </c>
      <c r="N29" s="22">
        <f>IF(OR(H29="",I29=""),"",I29-H29)</f>
        <v/>
      </c>
      <c r="O29" s="22">
        <f>IF(OR(F29="",G29=""),"",IF(G29-F29&gt;Settings!$B$8,"CRM activity, no buyer contact",""))</f>
        <v/>
      </c>
      <c r="P29" s="22">
        <f>IF(A29="","",IF(OR(C29="Closed won",C29="Closed lost"),"Closed",IF(L29="","Check dates",IF(L29&gt;=Settings!$B$5,"Likely dead",IF(L29&gt;=Settings!$B$4,"Dormant","Active")))))</f>
        <v/>
      </c>
      <c r="Q29" s="22">
        <f>IF(OR(P29="Dormant",P29="Likely dead"),ROUND(100*IFERROR(VLOOKUP(C29,Settings!$D$4:$E$8,2,FALSE),0.3)*MIN(1,N(D29)/Settings!$B$7)*IF(P29="Dormant",1-0.5*(L29-Settings!$B$4)/MAX(1,Settings!$B$5-Settings!$B$4),0.25),0),"")</f>
        <v/>
      </c>
      <c r="R29" s="22">
        <f>IF(P29="Dormant",IF(AND(N(D29)&gt;=Settings!$B$6,N(Q29)&gt;=40),"Re-engage now",IF(N(D29)&gt;=Settings!$B$6,"Investigate, then decide","Low value: batch or close")),IF(P29="Likely dead","Close out or recycle to nurture",IF(P29="Active","Leave: active",IF(P29="Check dates","Add dates",""))))</f>
        <v/>
      </c>
      <c r="S29" s="23">
        <f>IF(OR(R29="Re-engage now",R29="Investigate, then decide"),Q29+ROW()/1000000,"")</f>
        <v/>
      </c>
    </row>
    <row r="30">
      <c r="A30" s="24" t="n"/>
      <c r="B30" s="24" t="n"/>
      <c r="C30" s="24" t="n"/>
      <c r="D30" s="25" t="n"/>
      <c r="E30" s="26" t="n"/>
      <c r="F30" s="26" t="n"/>
      <c r="G30" s="26" t="n"/>
      <c r="H30" s="26" t="n"/>
      <c r="I30" s="26" t="n"/>
      <c r="J30" s="24" t="n"/>
      <c r="K30" s="24" t="n"/>
      <c r="L30" s="22">
        <f>IF(A30="","",IF(AND(F30="",E30=""),"",TODAY()-IF(F30="",E30,F30)))</f>
        <v/>
      </c>
      <c r="M30" s="22">
        <f>IF(OR(A30="",E30=""),"",TODAY()-E30)</f>
        <v/>
      </c>
      <c r="N30" s="22">
        <f>IF(OR(H30="",I30=""),"",I30-H30)</f>
        <v/>
      </c>
      <c r="O30" s="22">
        <f>IF(OR(F30="",G30=""),"",IF(G30-F30&gt;Settings!$B$8,"CRM activity, no buyer contact",""))</f>
        <v/>
      </c>
      <c r="P30" s="22">
        <f>IF(A30="","",IF(OR(C30="Closed won",C30="Closed lost"),"Closed",IF(L30="","Check dates",IF(L30&gt;=Settings!$B$5,"Likely dead",IF(L30&gt;=Settings!$B$4,"Dormant","Active")))))</f>
        <v/>
      </c>
      <c r="Q30" s="22">
        <f>IF(OR(P30="Dormant",P30="Likely dead"),ROUND(100*IFERROR(VLOOKUP(C30,Settings!$D$4:$E$8,2,FALSE),0.3)*MIN(1,N(D30)/Settings!$B$7)*IF(P30="Dormant",1-0.5*(L30-Settings!$B$4)/MAX(1,Settings!$B$5-Settings!$B$4),0.25),0),"")</f>
        <v/>
      </c>
      <c r="R30" s="22">
        <f>IF(P30="Dormant",IF(AND(N(D30)&gt;=Settings!$B$6,N(Q30)&gt;=40),"Re-engage now",IF(N(D30)&gt;=Settings!$B$6,"Investigate, then decide","Low value: batch or close")),IF(P30="Likely dead","Close out or recycle to nurture",IF(P30="Active","Leave: active",IF(P30="Check dates","Add dates",""))))</f>
        <v/>
      </c>
      <c r="S30" s="23">
        <f>IF(OR(R30="Re-engage now",R30="Investigate, then decide"),Q30+ROW()/1000000,"")</f>
        <v/>
      </c>
    </row>
    <row r="31">
      <c r="A31" s="24" t="n"/>
      <c r="B31" s="24" t="n"/>
      <c r="C31" s="24" t="n"/>
      <c r="D31" s="25" t="n"/>
      <c r="E31" s="26" t="n"/>
      <c r="F31" s="26" t="n"/>
      <c r="G31" s="26" t="n"/>
      <c r="H31" s="26" t="n"/>
      <c r="I31" s="26" t="n"/>
      <c r="J31" s="24" t="n"/>
      <c r="K31" s="24" t="n"/>
      <c r="L31" s="22">
        <f>IF(A31="","",IF(AND(F31="",E31=""),"",TODAY()-IF(F31="",E31,F31)))</f>
        <v/>
      </c>
      <c r="M31" s="22">
        <f>IF(OR(A31="",E31=""),"",TODAY()-E31)</f>
        <v/>
      </c>
      <c r="N31" s="22">
        <f>IF(OR(H31="",I31=""),"",I31-H31)</f>
        <v/>
      </c>
      <c r="O31" s="22">
        <f>IF(OR(F31="",G31=""),"",IF(G31-F31&gt;Settings!$B$8,"CRM activity, no buyer contact",""))</f>
        <v/>
      </c>
      <c r="P31" s="22">
        <f>IF(A31="","",IF(OR(C31="Closed won",C31="Closed lost"),"Closed",IF(L31="","Check dates",IF(L31&gt;=Settings!$B$5,"Likely dead",IF(L31&gt;=Settings!$B$4,"Dormant","Active")))))</f>
        <v/>
      </c>
      <c r="Q31" s="22">
        <f>IF(OR(P31="Dormant",P31="Likely dead"),ROUND(100*IFERROR(VLOOKUP(C31,Settings!$D$4:$E$8,2,FALSE),0.3)*MIN(1,N(D31)/Settings!$B$7)*IF(P31="Dormant",1-0.5*(L31-Settings!$B$4)/MAX(1,Settings!$B$5-Settings!$B$4),0.25),0),"")</f>
        <v/>
      </c>
      <c r="R31" s="22">
        <f>IF(P31="Dormant",IF(AND(N(D31)&gt;=Settings!$B$6,N(Q31)&gt;=40),"Re-engage now",IF(N(D31)&gt;=Settings!$B$6,"Investigate, then decide","Low value: batch or close")),IF(P31="Likely dead","Close out or recycle to nurture",IF(P31="Active","Leave: active",IF(P31="Check dates","Add dates",""))))</f>
        <v/>
      </c>
      <c r="S31" s="23">
        <f>IF(OR(R31="Re-engage now",R31="Investigate, then decide"),Q31+ROW()/1000000,"")</f>
        <v/>
      </c>
    </row>
    <row r="32">
      <c r="A32" s="24" t="n"/>
      <c r="B32" s="24" t="n"/>
      <c r="C32" s="24" t="n"/>
      <c r="D32" s="25" t="n"/>
      <c r="E32" s="26" t="n"/>
      <c r="F32" s="26" t="n"/>
      <c r="G32" s="26" t="n"/>
      <c r="H32" s="26" t="n"/>
      <c r="I32" s="26" t="n"/>
      <c r="J32" s="24" t="n"/>
      <c r="K32" s="24" t="n"/>
      <c r="L32" s="22">
        <f>IF(A32="","",IF(AND(F32="",E32=""),"",TODAY()-IF(F32="",E32,F32)))</f>
        <v/>
      </c>
      <c r="M32" s="22">
        <f>IF(OR(A32="",E32=""),"",TODAY()-E32)</f>
        <v/>
      </c>
      <c r="N32" s="22">
        <f>IF(OR(H32="",I32=""),"",I32-H32)</f>
        <v/>
      </c>
      <c r="O32" s="22">
        <f>IF(OR(F32="",G32=""),"",IF(G32-F32&gt;Settings!$B$8,"CRM activity, no buyer contact",""))</f>
        <v/>
      </c>
      <c r="P32" s="22">
        <f>IF(A32="","",IF(OR(C32="Closed won",C32="Closed lost"),"Closed",IF(L32="","Check dates",IF(L32&gt;=Settings!$B$5,"Likely dead",IF(L32&gt;=Settings!$B$4,"Dormant","Active")))))</f>
        <v/>
      </c>
      <c r="Q32" s="22">
        <f>IF(OR(P32="Dormant",P32="Likely dead"),ROUND(100*IFERROR(VLOOKUP(C32,Settings!$D$4:$E$8,2,FALSE),0.3)*MIN(1,N(D32)/Settings!$B$7)*IF(P32="Dormant",1-0.5*(L32-Settings!$B$4)/MAX(1,Settings!$B$5-Settings!$B$4),0.25),0),"")</f>
        <v/>
      </c>
      <c r="R32" s="22">
        <f>IF(P32="Dormant",IF(AND(N(D32)&gt;=Settings!$B$6,N(Q32)&gt;=40),"Re-engage now",IF(N(D32)&gt;=Settings!$B$6,"Investigate, then decide","Low value: batch or close")),IF(P32="Likely dead","Close out or recycle to nurture",IF(P32="Active","Leave: active",IF(P32="Check dates","Add dates",""))))</f>
        <v/>
      </c>
      <c r="S32" s="23">
        <f>IF(OR(R32="Re-engage now",R32="Investigate, then decide"),Q32+ROW()/1000000,"")</f>
        <v/>
      </c>
    </row>
    <row r="33">
      <c r="A33" s="24" t="n"/>
      <c r="B33" s="24" t="n"/>
      <c r="C33" s="24" t="n"/>
      <c r="D33" s="25" t="n"/>
      <c r="E33" s="26" t="n"/>
      <c r="F33" s="26" t="n"/>
      <c r="G33" s="26" t="n"/>
      <c r="H33" s="26" t="n"/>
      <c r="I33" s="26" t="n"/>
      <c r="J33" s="24" t="n"/>
      <c r="K33" s="24" t="n"/>
      <c r="L33" s="22">
        <f>IF(A33="","",IF(AND(F33="",E33=""),"",TODAY()-IF(F33="",E33,F33)))</f>
        <v/>
      </c>
      <c r="M33" s="22">
        <f>IF(OR(A33="",E33=""),"",TODAY()-E33)</f>
        <v/>
      </c>
      <c r="N33" s="22">
        <f>IF(OR(H33="",I33=""),"",I33-H33)</f>
        <v/>
      </c>
      <c r="O33" s="22">
        <f>IF(OR(F33="",G33=""),"",IF(G33-F33&gt;Settings!$B$8,"CRM activity, no buyer contact",""))</f>
        <v/>
      </c>
      <c r="P33" s="22">
        <f>IF(A33="","",IF(OR(C33="Closed won",C33="Closed lost"),"Closed",IF(L33="","Check dates",IF(L33&gt;=Settings!$B$5,"Likely dead",IF(L33&gt;=Settings!$B$4,"Dormant","Active")))))</f>
        <v/>
      </c>
      <c r="Q33" s="22">
        <f>IF(OR(P33="Dormant",P33="Likely dead"),ROUND(100*IFERROR(VLOOKUP(C33,Settings!$D$4:$E$8,2,FALSE),0.3)*MIN(1,N(D33)/Settings!$B$7)*IF(P33="Dormant",1-0.5*(L33-Settings!$B$4)/MAX(1,Settings!$B$5-Settings!$B$4),0.25),0),"")</f>
        <v/>
      </c>
      <c r="R33" s="22">
        <f>IF(P33="Dormant",IF(AND(N(D33)&gt;=Settings!$B$6,N(Q33)&gt;=40),"Re-engage now",IF(N(D33)&gt;=Settings!$B$6,"Investigate, then decide","Low value: batch or close")),IF(P33="Likely dead","Close out or recycle to nurture",IF(P33="Active","Leave: active",IF(P33="Check dates","Add dates",""))))</f>
        <v/>
      </c>
      <c r="S33" s="23">
        <f>IF(OR(R33="Re-engage now",R33="Investigate, then decide"),Q33+ROW()/1000000,"")</f>
        <v/>
      </c>
    </row>
    <row r="34">
      <c r="A34" s="24" t="n"/>
      <c r="B34" s="24" t="n"/>
      <c r="C34" s="24" t="n"/>
      <c r="D34" s="25" t="n"/>
      <c r="E34" s="26" t="n"/>
      <c r="F34" s="26" t="n"/>
      <c r="G34" s="26" t="n"/>
      <c r="H34" s="26" t="n"/>
      <c r="I34" s="26" t="n"/>
      <c r="J34" s="24" t="n"/>
      <c r="K34" s="24" t="n"/>
      <c r="L34" s="22">
        <f>IF(A34="","",IF(AND(F34="",E34=""),"",TODAY()-IF(F34="",E34,F34)))</f>
        <v/>
      </c>
      <c r="M34" s="22">
        <f>IF(OR(A34="",E34=""),"",TODAY()-E34)</f>
        <v/>
      </c>
      <c r="N34" s="22">
        <f>IF(OR(H34="",I34=""),"",I34-H34)</f>
        <v/>
      </c>
      <c r="O34" s="22">
        <f>IF(OR(F34="",G34=""),"",IF(G34-F34&gt;Settings!$B$8,"CRM activity, no buyer contact",""))</f>
        <v/>
      </c>
      <c r="P34" s="22">
        <f>IF(A34="","",IF(OR(C34="Closed won",C34="Closed lost"),"Closed",IF(L34="","Check dates",IF(L34&gt;=Settings!$B$5,"Likely dead",IF(L34&gt;=Settings!$B$4,"Dormant","Active")))))</f>
        <v/>
      </c>
      <c r="Q34" s="22">
        <f>IF(OR(P34="Dormant",P34="Likely dead"),ROUND(100*IFERROR(VLOOKUP(C34,Settings!$D$4:$E$8,2,FALSE),0.3)*MIN(1,N(D34)/Settings!$B$7)*IF(P34="Dormant",1-0.5*(L34-Settings!$B$4)/MAX(1,Settings!$B$5-Settings!$B$4),0.25),0),"")</f>
        <v/>
      </c>
      <c r="R34" s="22">
        <f>IF(P34="Dormant",IF(AND(N(D34)&gt;=Settings!$B$6,N(Q34)&gt;=40),"Re-engage now",IF(N(D34)&gt;=Settings!$B$6,"Investigate, then decide","Low value: batch or close")),IF(P34="Likely dead","Close out or recycle to nurture",IF(P34="Active","Leave: active",IF(P34="Check dates","Add dates",""))))</f>
        <v/>
      </c>
      <c r="S34" s="23">
        <f>IF(OR(R34="Re-engage now",R34="Investigate, then decide"),Q34+ROW()/1000000,"")</f>
        <v/>
      </c>
    </row>
    <row r="35">
      <c r="A35" s="24" t="n"/>
      <c r="B35" s="24" t="n"/>
      <c r="C35" s="24" t="n"/>
      <c r="D35" s="25" t="n"/>
      <c r="E35" s="26" t="n"/>
      <c r="F35" s="26" t="n"/>
      <c r="G35" s="26" t="n"/>
      <c r="H35" s="26" t="n"/>
      <c r="I35" s="26" t="n"/>
      <c r="J35" s="24" t="n"/>
      <c r="K35" s="24" t="n"/>
      <c r="L35" s="22">
        <f>IF(A35="","",IF(AND(F35="",E35=""),"",TODAY()-IF(F35="",E35,F35)))</f>
        <v/>
      </c>
      <c r="M35" s="22">
        <f>IF(OR(A35="",E35=""),"",TODAY()-E35)</f>
        <v/>
      </c>
      <c r="N35" s="22">
        <f>IF(OR(H35="",I35=""),"",I35-H35)</f>
        <v/>
      </c>
      <c r="O35" s="22">
        <f>IF(OR(F35="",G35=""),"",IF(G35-F35&gt;Settings!$B$8,"CRM activity, no buyer contact",""))</f>
        <v/>
      </c>
      <c r="P35" s="22">
        <f>IF(A35="","",IF(OR(C35="Closed won",C35="Closed lost"),"Closed",IF(L35="","Check dates",IF(L35&gt;=Settings!$B$5,"Likely dead",IF(L35&gt;=Settings!$B$4,"Dormant","Active")))))</f>
        <v/>
      </c>
      <c r="Q35" s="22">
        <f>IF(OR(P35="Dormant",P35="Likely dead"),ROUND(100*IFERROR(VLOOKUP(C35,Settings!$D$4:$E$8,2,FALSE),0.3)*MIN(1,N(D35)/Settings!$B$7)*IF(P35="Dormant",1-0.5*(L35-Settings!$B$4)/MAX(1,Settings!$B$5-Settings!$B$4),0.25),0),"")</f>
        <v/>
      </c>
      <c r="R35" s="22">
        <f>IF(P35="Dormant",IF(AND(N(D35)&gt;=Settings!$B$6,N(Q35)&gt;=40),"Re-engage now",IF(N(D35)&gt;=Settings!$B$6,"Investigate, then decide","Low value: batch or close")),IF(P35="Likely dead","Close out or recycle to nurture",IF(P35="Active","Leave: active",IF(P35="Check dates","Add dates",""))))</f>
        <v/>
      </c>
      <c r="S35" s="23">
        <f>IF(OR(R35="Re-engage now",R35="Investigate, then decide"),Q35+ROW()/1000000,"")</f>
        <v/>
      </c>
    </row>
    <row r="36">
      <c r="A36" s="24" t="n"/>
      <c r="B36" s="24" t="n"/>
      <c r="C36" s="24" t="n"/>
      <c r="D36" s="25" t="n"/>
      <c r="E36" s="26" t="n"/>
      <c r="F36" s="26" t="n"/>
      <c r="G36" s="26" t="n"/>
      <c r="H36" s="26" t="n"/>
      <c r="I36" s="26" t="n"/>
      <c r="J36" s="24" t="n"/>
      <c r="K36" s="24" t="n"/>
      <c r="L36" s="22">
        <f>IF(A36="","",IF(AND(F36="",E36=""),"",TODAY()-IF(F36="",E36,F36)))</f>
        <v/>
      </c>
      <c r="M36" s="22">
        <f>IF(OR(A36="",E36=""),"",TODAY()-E36)</f>
        <v/>
      </c>
      <c r="N36" s="22">
        <f>IF(OR(H36="",I36=""),"",I36-H36)</f>
        <v/>
      </c>
      <c r="O36" s="22">
        <f>IF(OR(F36="",G36=""),"",IF(G36-F36&gt;Settings!$B$8,"CRM activity, no buyer contact",""))</f>
        <v/>
      </c>
      <c r="P36" s="22">
        <f>IF(A36="","",IF(OR(C36="Closed won",C36="Closed lost"),"Closed",IF(L36="","Check dates",IF(L36&gt;=Settings!$B$5,"Likely dead",IF(L36&gt;=Settings!$B$4,"Dormant","Active")))))</f>
        <v/>
      </c>
      <c r="Q36" s="22">
        <f>IF(OR(P36="Dormant",P36="Likely dead"),ROUND(100*IFERROR(VLOOKUP(C36,Settings!$D$4:$E$8,2,FALSE),0.3)*MIN(1,N(D36)/Settings!$B$7)*IF(P36="Dormant",1-0.5*(L36-Settings!$B$4)/MAX(1,Settings!$B$5-Settings!$B$4),0.25),0),"")</f>
        <v/>
      </c>
      <c r="R36" s="22">
        <f>IF(P36="Dormant",IF(AND(N(D36)&gt;=Settings!$B$6,N(Q36)&gt;=40),"Re-engage now",IF(N(D36)&gt;=Settings!$B$6,"Investigate, then decide","Low value: batch or close")),IF(P36="Likely dead","Close out or recycle to nurture",IF(P36="Active","Leave: active",IF(P36="Check dates","Add dates",""))))</f>
        <v/>
      </c>
      <c r="S36" s="23">
        <f>IF(OR(R36="Re-engage now",R36="Investigate, then decide"),Q36+ROW()/1000000,"")</f>
        <v/>
      </c>
    </row>
    <row r="37">
      <c r="A37" s="24" t="n"/>
      <c r="B37" s="24" t="n"/>
      <c r="C37" s="24" t="n"/>
      <c r="D37" s="25" t="n"/>
      <c r="E37" s="26" t="n"/>
      <c r="F37" s="26" t="n"/>
      <c r="G37" s="26" t="n"/>
      <c r="H37" s="26" t="n"/>
      <c r="I37" s="26" t="n"/>
      <c r="J37" s="24" t="n"/>
      <c r="K37" s="24" t="n"/>
      <c r="L37" s="22">
        <f>IF(A37="","",IF(AND(F37="",E37=""),"",TODAY()-IF(F37="",E37,F37)))</f>
        <v/>
      </c>
      <c r="M37" s="22">
        <f>IF(OR(A37="",E37=""),"",TODAY()-E37)</f>
        <v/>
      </c>
      <c r="N37" s="22">
        <f>IF(OR(H37="",I37=""),"",I37-H37)</f>
        <v/>
      </c>
      <c r="O37" s="22">
        <f>IF(OR(F37="",G37=""),"",IF(G37-F37&gt;Settings!$B$8,"CRM activity, no buyer contact",""))</f>
        <v/>
      </c>
      <c r="P37" s="22">
        <f>IF(A37="","",IF(OR(C37="Closed won",C37="Closed lost"),"Closed",IF(L37="","Check dates",IF(L37&gt;=Settings!$B$5,"Likely dead",IF(L37&gt;=Settings!$B$4,"Dormant","Active")))))</f>
        <v/>
      </c>
      <c r="Q37" s="22">
        <f>IF(OR(P37="Dormant",P37="Likely dead"),ROUND(100*IFERROR(VLOOKUP(C37,Settings!$D$4:$E$8,2,FALSE),0.3)*MIN(1,N(D37)/Settings!$B$7)*IF(P37="Dormant",1-0.5*(L37-Settings!$B$4)/MAX(1,Settings!$B$5-Settings!$B$4),0.25),0),"")</f>
        <v/>
      </c>
      <c r="R37" s="22">
        <f>IF(P37="Dormant",IF(AND(N(D37)&gt;=Settings!$B$6,N(Q37)&gt;=40),"Re-engage now",IF(N(D37)&gt;=Settings!$B$6,"Investigate, then decide","Low value: batch or close")),IF(P37="Likely dead","Close out or recycle to nurture",IF(P37="Active","Leave: active",IF(P37="Check dates","Add dates",""))))</f>
        <v/>
      </c>
      <c r="S37" s="23">
        <f>IF(OR(R37="Re-engage now",R37="Investigate, then decide"),Q37+ROW()/1000000,"")</f>
        <v/>
      </c>
    </row>
    <row r="38">
      <c r="A38" s="24" t="n"/>
      <c r="B38" s="24" t="n"/>
      <c r="C38" s="24" t="n"/>
      <c r="D38" s="25" t="n"/>
      <c r="E38" s="26" t="n"/>
      <c r="F38" s="26" t="n"/>
      <c r="G38" s="26" t="n"/>
      <c r="H38" s="26" t="n"/>
      <c r="I38" s="26" t="n"/>
      <c r="J38" s="24" t="n"/>
      <c r="K38" s="24" t="n"/>
      <c r="L38" s="22">
        <f>IF(A38="","",IF(AND(F38="",E38=""),"",TODAY()-IF(F38="",E38,F38)))</f>
        <v/>
      </c>
      <c r="M38" s="22">
        <f>IF(OR(A38="",E38=""),"",TODAY()-E38)</f>
        <v/>
      </c>
      <c r="N38" s="22">
        <f>IF(OR(H38="",I38=""),"",I38-H38)</f>
        <v/>
      </c>
      <c r="O38" s="22">
        <f>IF(OR(F38="",G38=""),"",IF(G38-F38&gt;Settings!$B$8,"CRM activity, no buyer contact",""))</f>
        <v/>
      </c>
      <c r="P38" s="22">
        <f>IF(A38="","",IF(OR(C38="Closed won",C38="Closed lost"),"Closed",IF(L38="","Check dates",IF(L38&gt;=Settings!$B$5,"Likely dead",IF(L38&gt;=Settings!$B$4,"Dormant","Active")))))</f>
        <v/>
      </c>
      <c r="Q38" s="22">
        <f>IF(OR(P38="Dormant",P38="Likely dead"),ROUND(100*IFERROR(VLOOKUP(C38,Settings!$D$4:$E$8,2,FALSE),0.3)*MIN(1,N(D38)/Settings!$B$7)*IF(P38="Dormant",1-0.5*(L38-Settings!$B$4)/MAX(1,Settings!$B$5-Settings!$B$4),0.25),0),"")</f>
        <v/>
      </c>
      <c r="R38" s="22">
        <f>IF(P38="Dormant",IF(AND(N(D38)&gt;=Settings!$B$6,N(Q38)&gt;=40),"Re-engage now",IF(N(D38)&gt;=Settings!$B$6,"Investigate, then decide","Low value: batch or close")),IF(P38="Likely dead","Close out or recycle to nurture",IF(P38="Active","Leave: active",IF(P38="Check dates","Add dates",""))))</f>
        <v/>
      </c>
      <c r="S38" s="23">
        <f>IF(OR(R38="Re-engage now",R38="Investigate, then decide"),Q38+ROW()/1000000,"")</f>
        <v/>
      </c>
    </row>
    <row r="39">
      <c r="A39" s="24" t="n"/>
      <c r="B39" s="24" t="n"/>
      <c r="C39" s="24" t="n"/>
      <c r="D39" s="25" t="n"/>
      <c r="E39" s="26" t="n"/>
      <c r="F39" s="26" t="n"/>
      <c r="G39" s="26" t="n"/>
      <c r="H39" s="26" t="n"/>
      <c r="I39" s="26" t="n"/>
      <c r="J39" s="24" t="n"/>
      <c r="K39" s="24" t="n"/>
      <c r="L39" s="22">
        <f>IF(A39="","",IF(AND(F39="",E39=""),"",TODAY()-IF(F39="",E39,F39)))</f>
        <v/>
      </c>
      <c r="M39" s="22">
        <f>IF(OR(A39="",E39=""),"",TODAY()-E39)</f>
        <v/>
      </c>
      <c r="N39" s="22">
        <f>IF(OR(H39="",I39=""),"",I39-H39)</f>
        <v/>
      </c>
      <c r="O39" s="22">
        <f>IF(OR(F39="",G39=""),"",IF(G39-F39&gt;Settings!$B$8,"CRM activity, no buyer contact",""))</f>
        <v/>
      </c>
      <c r="P39" s="22">
        <f>IF(A39="","",IF(OR(C39="Closed won",C39="Closed lost"),"Closed",IF(L39="","Check dates",IF(L39&gt;=Settings!$B$5,"Likely dead",IF(L39&gt;=Settings!$B$4,"Dormant","Active")))))</f>
        <v/>
      </c>
      <c r="Q39" s="22">
        <f>IF(OR(P39="Dormant",P39="Likely dead"),ROUND(100*IFERROR(VLOOKUP(C39,Settings!$D$4:$E$8,2,FALSE),0.3)*MIN(1,N(D39)/Settings!$B$7)*IF(P39="Dormant",1-0.5*(L39-Settings!$B$4)/MAX(1,Settings!$B$5-Settings!$B$4),0.25),0),"")</f>
        <v/>
      </c>
      <c r="R39" s="22">
        <f>IF(P39="Dormant",IF(AND(N(D39)&gt;=Settings!$B$6,N(Q39)&gt;=40),"Re-engage now",IF(N(D39)&gt;=Settings!$B$6,"Investigate, then decide","Low value: batch or close")),IF(P39="Likely dead","Close out or recycle to nurture",IF(P39="Active","Leave: active",IF(P39="Check dates","Add dates",""))))</f>
        <v/>
      </c>
      <c r="S39" s="23">
        <f>IF(OR(R39="Re-engage now",R39="Investigate, then decide"),Q39+ROW()/1000000,"")</f>
        <v/>
      </c>
    </row>
    <row r="40">
      <c r="A40" s="24" t="n"/>
      <c r="B40" s="24" t="n"/>
      <c r="C40" s="24" t="n"/>
      <c r="D40" s="25" t="n"/>
      <c r="E40" s="26" t="n"/>
      <c r="F40" s="26" t="n"/>
      <c r="G40" s="26" t="n"/>
      <c r="H40" s="26" t="n"/>
      <c r="I40" s="26" t="n"/>
      <c r="J40" s="24" t="n"/>
      <c r="K40" s="24" t="n"/>
      <c r="L40" s="22">
        <f>IF(A40="","",IF(AND(F40="",E40=""),"",TODAY()-IF(F40="",E40,F40)))</f>
        <v/>
      </c>
      <c r="M40" s="22">
        <f>IF(OR(A40="",E40=""),"",TODAY()-E40)</f>
        <v/>
      </c>
      <c r="N40" s="22">
        <f>IF(OR(H40="",I40=""),"",I40-H40)</f>
        <v/>
      </c>
      <c r="O40" s="22">
        <f>IF(OR(F40="",G40=""),"",IF(G40-F40&gt;Settings!$B$8,"CRM activity, no buyer contact",""))</f>
        <v/>
      </c>
      <c r="P40" s="22">
        <f>IF(A40="","",IF(OR(C40="Closed won",C40="Closed lost"),"Closed",IF(L40="","Check dates",IF(L40&gt;=Settings!$B$5,"Likely dead",IF(L40&gt;=Settings!$B$4,"Dormant","Active")))))</f>
        <v/>
      </c>
      <c r="Q40" s="22">
        <f>IF(OR(P40="Dormant",P40="Likely dead"),ROUND(100*IFERROR(VLOOKUP(C40,Settings!$D$4:$E$8,2,FALSE),0.3)*MIN(1,N(D40)/Settings!$B$7)*IF(P40="Dormant",1-0.5*(L40-Settings!$B$4)/MAX(1,Settings!$B$5-Settings!$B$4),0.25),0),"")</f>
        <v/>
      </c>
      <c r="R40" s="22">
        <f>IF(P40="Dormant",IF(AND(N(D40)&gt;=Settings!$B$6,N(Q40)&gt;=40),"Re-engage now",IF(N(D40)&gt;=Settings!$B$6,"Investigate, then decide","Low value: batch or close")),IF(P40="Likely dead","Close out or recycle to nurture",IF(P40="Active","Leave: active",IF(P40="Check dates","Add dates",""))))</f>
        <v/>
      </c>
      <c r="S40" s="23">
        <f>IF(OR(R40="Re-engage now",R40="Investigate, then decide"),Q40+ROW()/1000000,"")</f>
        <v/>
      </c>
    </row>
    <row r="41">
      <c r="A41" s="24" t="n"/>
      <c r="B41" s="24" t="n"/>
      <c r="C41" s="24" t="n"/>
      <c r="D41" s="25" t="n"/>
      <c r="E41" s="26" t="n"/>
      <c r="F41" s="26" t="n"/>
      <c r="G41" s="26" t="n"/>
      <c r="H41" s="26" t="n"/>
      <c r="I41" s="26" t="n"/>
      <c r="J41" s="24" t="n"/>
      <c r="K41" s="24" t="n"/>
      <c r="L41" s="22">
        <f>IF(A41="","",IF(AND(F41="",E41=""),"",TODAY()-IF(F41="",E41,F41)))</f>
        <v/>
      </c>
      <c r="M41" s="22">
        <f>IF(OR(A41="",E41=""),"",TODAY()-E41)</f>
        <v/>
      </c>
      <c r="N41" s="22">
        <f>IF(OR(H41="",I41=""),"",I41-H41)</f>
        <v/>
      </c>
      <c r="O41" s="22">
        <f>IF(OR(F41="",G41=""),"",IF(G41-F41&gt;Settings!$B$8,"CRM activity, no buyer contact",""))</f>
        <v/>
      </c>
      <c r="P41" s="22">
        <f>IF(A41="","",IF(OR(C41="Closed won",C41="Closed lost"),"Closed",IF(L41="","Check dates",IF(L41&gt;=Settings!$B$5,"Likely dead",IF(L41&gt;=Settings!$B$4,"Dormant","Active")))))</f>
        <v/>
      </c>
      <c r="Q41" s="22">
        <f>IF(OR(P41="Dormant",P41="Likely dead"),ROUND(100*IFERROR(VLOOKUP(C41,Settings!$D$4:$E$8,2,FALSE),0.3)*MIN(1,N(D41)/Settings!$B$7)*IF(P41="Dormant",1-0.5*(L41-Settings!$B$4)/MAX(1,Settings!$B$5-Settings!$B$4),0.25),0),"")</f>
        <v/>
      </c>
      <c r="R41" s="22">
        <f>IF(P41="Dormant",IF(AND(N(D41)&gt;=Settings!$B$6,N(Q41)&gt;=40),"Re-engage now",IF(N(D41)&gt;=Settings!$B$6,"Investigate, then decide","Low value: batch or close")),IF(P41="Likely dead","Close out or recycle to nurture",IF(P41="Active","Leave: active",IF(P41="Check dates","Add dates",""))))</f>
        <v/>
      </c>
      <c r="S41" s="23">
        <f>IF(OR(R41="Re-engage now",R41="Investigate, then decide"),Q41+ROW()/1000000,"")</f>
        <v/>
      </c>
    </row>
    <row r="42">
      <c r="A42" s="24" t="n"/>
      <c r="B42" s="24" t="n"/>
      <c r="C42" s="24" t="n"/>
      <c r="D42" s="25" t="n"/>
      <c r="E42" s="26" t="n"/>
      <c r="F42" s="26" t="n"/>
      <c r="G42" s="26" t="n"/>
      <c r="H42" s="26" t="n"/>
      <c r="I42" s="26" t="n"/>
      <c r="J42" s="24" t="n"/>
      <c r="K42" s="24" t="n"/>
      <c r="L42" s="22">
        <f>IF(A42="","",IF(AND(F42="",E42=""),"",TODAY()-IF(F42="",E42,F42)))</f>
        <v/>
      </c>
      <c r="M42" s="22">
        <f>IF(OR(A42="",E42=""),"",TODAY()-E42)</f>
        <v/>
      </c>
      <c r="N42" s="22">
        <f>IF(OR(H42="",I42=""),"",I42-H42)</f>
        <v/>
      </c>
      <c r="O42" s="22">
        <f>IF(OR(F42="",G42=""),"",IF(G42-F42&gt;Settings!$B$8,"CRM activity, no buyer contact",""))</f>
        <v/>
      </c>
      <c r="P42" s="22">
        <f>IF(A42="","",IF(OR(C42="Closed won",C42="Closed lost"),"Closed",IF(L42="","Check dates",IF(L42&gt;=Settings!$B$5,"Likely dead",IF(L42&gt;=Settings!$B$4,"Dormant","Active")))))</f>
        <v/>
      </c>
      <c r="Q42" s="22">
        <f>IF(OR(P42="Dormant",P42="Likely dead"),ROUND(100*IFERROR(VLOOKUP(C42,Settings!$D$4:$E$8,2,FALSE),0.3)*MIN(1,N(D42)/Settings!$B$7)*IF(P42="Dormant",1-0.5*(L42-Settings!$B$4)/MAX(1,Settings!$B$5-Settings!$B$4),0.25),0),"")</f>
        <v/>
      </c>
      <c r="R42" s="22">
        <f>IF(P42="Dormant",IF(AND(N(D42)&gt;=Settings!$B$6,N(Q42)&gt;=40),"Re-engage now",IF(N(D42)&gt;=Settings!$B$6,"Investigate, then decide","Low value: batch or close")),IF(P42="Likely dead","Close out or recycle to nurture",IF(P42="Active","Leave: active",IF(P42="Check dates","Add dates",""))))</f>
        <v/>
      </c>
      <c r="S42" s="23">
        <f>IF(OR(R42="Re-engage now",R42="Investigate, then decide"),Q42+ROW()/1000000,"")</f>
        <v/>
      </c>
    </row>
    <row r="43">
      <c r="A43" s="24" t="n"/>
      <c r="B43" s="24" t="n"/>
      <c r="C43" s="24" t="n"/>
      <c r="D43" s="25" t="n"/>
      <c r="E43" s="26" t="n"/>
      <c r="F43" s="26" t="n"/>
      <c r="G43" s="26" t="n"/>
      <c r="H43" s="26" t="n"/>
      <c r="I43" s="26" t="n"/>
      <c r="J43" s="24" t="n"/>
      <c r="K43" s="24" t="n"/>
      <c r="L43" s="22">
        <f>IF(A43="","",IF(AND(F43="",E43=""),"",TODAY()-IF(F43="",E43,F43)))</f>
        <v/>
      </c>
      <c r="M43" s="22">
        <f>IF(OR(A43="",E43=""),"",TODAY()-E43)</f>
        <v/>
      </c>
      <c r="N43" s="22">
        <f>IF(OR(H43="",I43=""),"",I43-H43)</f>
        <v/>
      </c>
      <c r="O43" s="22">
        <f>IF(OR(F43="",G43=""),"",IF(G43-F43&gt;Settings!$B$8,"CRM activity, no buyer contact",""))</f>
        <v/>
      </c>
      <c r="P43" s="22">
        <f>IF(A43="","",IF(OR(C43="Closed won",C43="Closed lost"),"Closed",IF(L43="","Check dates",IF(L43&gt;=Settings!$B$5,"Likely dead",IF(L43&gt;=Settings!$B$4,"Dormant","Active")))))</f>
        <v/>
      </c>
      <c r="Q43" s="22">
        <f>IF(OR(P43="Dormant",P43="Likely dead"),ROUND(100*IFERROR(VLOOKUP(C43,Settings!$D$4:$E$8,2,FALSE),0.3)*MIN(1,N(D43)/Settings!$B$7)*IF(P43="Dormant",1-0.5*(L43-Settings!$B$4)/MAX(1,Settings!$B$5-Settings!$B$4),0.25),0),"")</f>
        <v/>
      </c>
      <c r="R43" s="22">
        <f>IF(P43="Dormant",IF(AND(N(D43)&gt;=Settings!$B$6,N(Q43)&gt;=40),"Re-engage now",IF(N(D43)&gt;=Settings!$B$6,"Investigate, then decide","Low value: batch or close")),IF(P43="Likely dead","Close out or recycle to nurture",IF(P43="Active","Leave: active",IF(P43="Check dates","Add dates",""))))</f>
        <v/>
      </c>
      <c r="S43" s="23">
        <f>IF(OR(R43="Re-engage now",R43="Investigate, then decide"),Q43+ROW()/1000000,"")</f>
        <v/>
      </c>
    </row>
    <row r="44">
      <c r="A44" s="24" t="n"/>
      <c r="B44" s="24" t="n"/>
      <c r="C44" s="24" t="n"/>
      <c r="D44" s="25" t="n"/>
      <c r="E44" s="26" t="n"/>
      <c r="F44" s="26" t="n"/>
      <c r="G44" s="26" t="n"/>
      <c r="H44" s="26" t="n"/>
      <c r="I44" s="26" t="n"/>
      <c r="J44" s="24" t="n"/>
      <c r="K44" s="24" t="n"/>
      <c r="L44" s="22">
        <f>IF(A44="","",IF(AND(F44="",E44=""),"",TODAY()-IF(F44="",E44,F44)))</f>
        <v/>
      </c>
      <c r="M44" s="22">
        <f>IF(OR(A44="",E44=""),"",TODAY()-E44)</f>
        <v/>
      </c>
      <c r="N44" s="22">
        <f>IF(OR(H44="",I44=""),"",I44-H44)</f>
        <v/>
      </c>
      <c r="O44" s="22">
        <f>IF(OR(F44="",G44=""),"",IF(G44-F44&gt;Settings!$B$8,"CRM activity, no buyer contact",""))</f>
        <v/>
      </c>
      <c r="P44" s="22">
        <f>IF(A44="","",IF(OR(C44="Closed won",C44="Closed lost"),"Closed",IF(L44="","Check dates",IF(L44&gt;=Settings!$B$5,"Likely dead",IF(L44&gt;=Settings!$B$4,"Dormant","Active")))))</f>
        <v/>
      </c>
      <c r="Q44" s="22">
        <f>IF(OR(P44="Dormant",P44="Likely dead"),ROUND(100*IFERROR(VLOOKUP(C44,Settings!$D$4:$E$8,2,FALSE),0.3)*MIN(1,N(D44)/Settings!$B$7)*IF(P44="Dormant",1-0.5*(L44-Settings!$B$4)/MAX(1,Settings!$B$5-Settings!$B$4),0.25),0),"")</f>
        <v/>
      </c>
      <c r="R44" s="22">
        <f>IF(P44="Dormant",IF(AND(N(D44)&gt;=Settings!$B$6,N(Q44)&gt;=40),"Re-engage now",IF(N(D44)&gt;=Settings!$B$6,"Investigate, then decide","Low value: batch or close")),IF(P44="Likely dead","Close out or recycle to nurture",IF(P44="Active","Leave: active",IF(P44="Check dates","Add dates",""))))</f>
        <v/>
      </c>
      <c r="S44" s="23">
        <f>IF(OR(R44="Re-engage now",R44="Investigate, then decide"),Q44+ROW()/1000000,"")</f>
        <v/>
      </c>
    </row>
    <row r="45">
      <c r="A45" s="24" t="n"/>
      <c r="B45" s="24" t="n"/>
      <c r="C45" s="24" t="n"/>
      <c r="D45" s="25" t="n"/>
      <c r="E45" s="26" t="n"/>
      <c r="F45" s="26" t="n"/>
      <c r="G45" s="26" t="n"/>
      <c r="H45" s="26" t="n"/>
      <c r="I45" s="26" t="n"/>
      <c r="J45" s="24" t="n"/>
      <c r="K45" s="24" t="n"/>
      <c r="L45" s="22">
        <f>IF(A45="","",IF(AND(F45="",E45=""),"",TODAY()-IF(F45="",E45,F45)))</f>
        <v/>
      </c>
      <c r="M45" s="22">
        <f>IF(OR(A45="",E45=""),"",TODAY()-E45)</f>
        <v/>
      </c>
      <c r="N45" s="22">
        <f>IF(OR(H45="",I45=""),"",I45-H45)</f>
        <v/>
      </c>
      <c r="O45" s="22">
        <f>IF(OR(F45="",G45=""),"",IF(G45-F45&gt;Settings!$B$8,"CRM activity, no buyer contact",""))</f>
        <v/>
      </c>
      <c r="P45" s="22">
        <f>IF(A45="","",IF(OR(C45="Closed won",C45="Closed lost"),"Closed",IF(L45="","Check dates",IF(L45&gt;=Settings!$B$5,"Likely dead",IF(L45&gt;=Settings!$B$4,"Dormant","Active")))))</f>
        <v/>
      </c>
      <c r="Q45" s="22">
        <f>IF(OR(P45="Dormant",P45="Likely dead"),ROUND(100*IFERROR(VLOOKUP(C45,Settings!$D$4:$E$8,2,FALSE),0.3)*MIN(1,N(D45)/Settings!$B$7)*IF(P45="Dormant",1-0.5*(L45-Settings!$B$4)/MAX(1,Settings!$B$5-Settings!$B$4),0.25),0),"")</f>
        <v/>
      </c>
      <c r="R45" s="22">
        <f>IF(P45="Dormant",IF(AND(N(D45)&gt;=Settings!$B$6,N(Q45)&gt;=40),"Re-engage now",IF(N(D45)&gt;=Settings!$B$6,"Investigate, then decide","Low value: batch or close")),IF(P45="Likely dead","Close out or recycle to nurture",IF(P45="Active","Leave: active",IF(P45="Check dates","Add dates",""))))</f>
        <v/>
      </c>
      <c r="S45" s="23">
        <f>IF(OR(R45="Re-engage now",R45="Investigate, then decide"),Q45+ROW()/1000000,"")</f>
        <v/>
      </c>
    </row>
    <row r="46">
      <c r="A46" s="24" t="n"/>
      <c r="B46" s="24" t="n"/>
      <c r="C46" s="24" t="n"/>
      <c r="D46" s="25" t="n"/>
      <c r="E46" s="26" t="n"/>
      <c r="F46" s="26" t="n"/>
      <c r="G46" s="26" t="n"/>
      <c r="H46" s="26" t="n"/>
      <c r="I46" s="26" t="n"/>
      <c r="J46" s="24" t="n"/>
      <c r="K46" s="24" t="n"/>
      <c r="L46" s="22">
        <f>IF(A46="","",IF(AND(F46="",E46=""),"",TODAY()-IF(F46="",E46,F46)))</f>
        <v/>
      </c>
      <c r="M46" s="22">
        <f>IF(OR(A46="",E46=""),"",TODAY()-E46)</f>
        <v/>
      </c>
      <c r="N46" s="22">
        <f>IF(OR(H46="",I46=""),"",I46-H46)</f>
        <v/>
      </c>
      <c r="O46" s="22">
        <f>IF(OR(F46="",G46=""),"",IF(G46-F46&gt;Settings!$B$8,"CRM activity, no buyer contact",""))</f>
        <v/>
      </c>
      <c r="P46" s="22">
        <f>IF(A46="","",IF(OR(C46="Closed won",C46="Closed lost"),"Closed",IF(L46="","Check dates",IF(L46&gt;=Settings!$B$5,"Likely dead",IF(L46&gt;=Settings!$B$4,"Dormant","Active")))))</f>
        <v/>
      </c>
      <c r="Q46" s="22">
        <f>IF(OR(P46="Dormant",P46="Likely dead"),ROUND(100*IFERROR(VLOOKUP(C46,Settings!$D$4:$E$8,2,FALSE),0.3)*MIN(1,N(D46)/Settings!$B$7)*IF(P46="Dormant",1-0.5*(L46-Settings!$B$4)/MAX(1,Settings!$B$5-Settings!$B$4),0.25),0),"")</f>
        <v/>
      </c>
      <c r="R46" s="22">
        <f>IF(P46="Dormant",IF(AND(N(D46)&gt;=Settings!$B$6,N(Q46)&gt;=40),"Re-engage now",IF(N(D46)&gt;=Settings!$B$6,"Investigate, then decide","Low value: batch or close")),IF(P46="Likely dead","Close out or recycle to nurture",IF(P46="Active","Leave: active",IF(P46="Check dates","Add dates",""))))</f>
        <v/>
      </c>
      <c r="S46" s="23">
        <f>IF(OR(R46="Re-engage now",R46="Investigate, then decide"),Q46+ROW()/1000000,"")</f>
        <v/>
      </c>
    </row>
    <row r="47">
      <c r="A47" s="24" t="n"/>
      <c r="B47" s="24" t="n"/>
      <c r="C47" s="24" t="n"/>
      <c r="D47" s="25" t="n"/>
      <c r="E47" s="26" t="n"/>
      <c r="F47" s="26" t="n"/>
      <c r="G47" s="26" t="n"/>
      <c r="H47" s="26" t="n"/>
      <c r="I47" s="26" t="n"/>
      <c r="J47" s="24" t="n"/>
      <c r="K47" s="24" t="n"/>
      <c r="L47" s="22">
        <f>IF(A47="","",IF(AND(F47="",E47=""),"",TODAY()-IF(F47="",E47,F47)))</f>
        <v/>
      </c>
      <c r="M47" s="22">
        <f>IF(OR(A47="",E47=""),"",TODAY()-E47)</f>
        <v/>
      </c>
      <c r="N47" s="22">
        <f>IF(OR(H47="",I47=""),"",I47-H47)</f>
        <v/>
      </c>
      <c r="O47" s="22">
        <f>IF(OR(F47="",G47=""),"",IF(G47-F47&gt;Settings!$B$8,"CRM activity, no buyer contact",""))</f>
        <v/>
      </c>
      <c r="P47" s="22">
        <f>IF(A47="","",IF(OR(C47="Closed won",C47="Closed lost"),"Closed",IF(L47="","Check dates",IF(L47&gt;=Settings!$B$5,"Likely dead",IF(L47&gt;=Settings!$B$4,"Dormant","Active")))))</f>
        <v/>
      </c>
      <c r="Q47" s="22">
        <f>IF(OR(P47="Dormant",P47="Likely dead"),ROUND(100*IFERROR(VLOOKUP(C47,Settings!$D$4:$E$8,2,FALSE),0.3)*MIN(1,N(D47)/Settings!$B$7)*IF(P47="Dormant",1-0.5*(L47-Settings!$B$4)/MAX(1,Settings!$B$5-Settings!$B$4),0.25),0),"")</f>
        <v/>
      </c>
      <c r="R47" s="22">
        <f>IF(P47="Dormant",IF(AND(N(D47)&gt;=Settings!$B$6,N(Q47)&gt;=40),"Re-engage now",IF(N(D47)&gt;=Settings!$B$6,"Investigate, then decide","Low value: batch or close")),IF(P47="Likely dead","Close out or recycle to nurture",IF(P47="Active","Leave: active",IF(P47="Check dates","Add dates",""))))</f>
        <v/>
      </c>
      <c r="S47" s="23">
        <f>IF(OR(R47="Re-engage now",R47="Investigate, then decide"),Q47+ROW()/1000000,"")</f>
        <v/>
      </c>
    </row>
    <row r="48">
      <c r="A48" s="24" t="n"/>
      <c r="B48" s="24" t="n"/>
      <c r="C48" s="24" t="n"/>
      <c r="D48" s="25" t="n"/>
      <c r="E48" s="26" t="n"/>
      <c r="F48" s="26" t="n"/>
      <c r="G48" s="26" t="n"/>
      <c r="H48" s="26" t="n"/>
      <c r="I48" s="26" t="n"/>
      <c r="J48" s="24" t="n"/>
      <c r="K48" s="24" t="n"/>
      <c r="L48" s="22">
        <f>IF(A48="","",IF(AND(F48="",E48=""),"",TODAY()-IF(F48="",E48,F48)))</f>
        <v/>
      </c>
      <c r="M48" s="22">
        <f>IF(OR(A48="",E48=""),"",TODAY()-E48)</f>
        <v/>
      </c>
      <c r="N48" s="22">
        <f>IF(OR(H48="",I48=""),"",I48-H48)</f>
        <v/>
      </c>
      <c r="O48" s="22">
        <f>IF(OR(F48="",G48=""),"",IF(G48-F48&gt;Settings!$B$8,"CRM activity, no buyer contact",""))</f>
        <v/>
      </c>
      <c r="P48" s="22">
        <f>IF(A48="","",IF(OR(C48="Closed won",C48="Closed lost"),"Closed",IF(L48="","Check dates",IF(L48&gt;=Settings!$B$5,"Likely dead",IF(L48&gt;=Settings!$B$4,"Dormant","Active")))))</f>
        <v/>
      </c>
      <c r="Q48" s="22">
        <f>IF(OR(P48="Dormant",P48="Likely dead"),ROUND(100*IFERROR(VLOOKUP(C48,Settings!$D$4:$E$8,2,FALSE),0.3)*MIN(1,N(D48)/Settings!$B$7)*IF(P48="Dormant",1-0.5*(L48-Settings!$B$4)/MAX(1,Settings!$B$5-Settings!$B$4),0.25),0),"")</f>
        <v/>
      </c>
      <c r="R48" s="22">
        <f>IF(P48="Dormant",IF(AND(N(D48)&gt;=Settings!$B$6,N(Q48)&gt;=40),"Re-engage now",IF(N(D48)&gt;=Settings!$B$6,"Investigate, then decide","Low value: batch or close")),IF(P48="Likely dead","Close out or recycle to nurture",IF(P48="Active","Leave: active",IF(P48="Check dates","Add dates",""))))</f>
        <v/>
      </c>
      <c r="S48" s="23">
        <f>IF(OR(R48="Re-engage now",R48="Investigate, then decide"),Q48+ROW()/1000000,"")</f>
        <v/>
      </c>
    </row>
    <row r="49">
      <c r="A49" s="24" t="n"/>
      <c r="B49" s="24" t="n"/>
      <c r="C49" s="24" t="n"/>
      <c r="D49" s="25" t="n"/>
      <c r="E49" s="26" t="n"/>
      <c r="F49" s="26" t="n"/>
      <c r="G49" s="26" t="n"/>
      <c r="H49" s="26" t="n"/>
      <c r="I49" s="26" t="n"/>
      <c r="J49" s="24" t="n"/>
      <c r="K49" s="24" t="n"/>
      <c r="L49" s="22">
        <f>IF(A49="","",IF(AND(F49="",E49=""),"",TODAY()-IF(F49="",E49,F49)))</f>
        <v/>
      </c>
      <c r="M49" s="22">
        <f>IF(OR(A49="",E49=""),"",TODAY()-E49)</f>
        <v/>
      </c>
      <c r="N49" s="22">
        <f>IF(OR(H49="",I49=""),"",I49-H49)</f>
        <v/>
      </c>
      <c r="O49" s="22">
        <f>IF(OR(F49="",G49=""),"",IF(G49-F49&gt;Settings!$B$8,"CRM activity, no buyer contact",""))</f>
        <v/>
      </c>
      <c r="P49" s="22">
        <f>IF(A49="","",IF(OR(C49="Closed won",C49="Closed lost"),"Closed",IF(L49="","Check dates",IF(L49&gt;=Settings!$B$5,"Likely dead",IF(L49&gt;=Settings!$B$4,"Dormant","Active")))))</f>
        <v/>
      </c>
      <c r="Q49" s="22">
        <f>IF(OR(P49="Dormant",P49="Likely dead"),ROUND(100*IFERROR(VLOOKUP(C49,Settings!$D$4:$E$8,2,FALSE),0.3)*MIN(1,N(D49)/Settings!$B$7)*IF(P49="Dormant",1-0.5*(L49-Settings!$B$4)/MAX(1,Settings!$B$5-Settings!$B$4),0.25),0),"")</f>
        <v/>
      </c>
      <c r="R49" s="22">
        <f>IF(P49="Dormant",IF(AND(N(D49)&gt;=Settings!$B$6,N(Q49)&gt;=40),"Re-engage now",IF(N(D49)&gt;=Settings!$B$6,"Investigate, then decide","Low value: batch or close")),IF(P49="Likely dead","Close out or recycle to nurture",IF(P49="Active","Leave: active",IF(P49="Check dates","Add dates",""))))</f>
        <v/>
      </c>
      <c r="S49" s="23">
        <f>IF(OR(R49="Re-engage now",R49="Investigate, then decide"),Q49+ROW()/1000000,"")</f>
        <v/>
      </c>
    </row>
    <row r="50">
      <c r="A50" s="24" t="n"/>
      <c r="B50" s="24" t="n"/>
      <c r="C50" s="24" t="n"/>
      <c r="D50" s="25" t="n"/>
      <c r="E50" s="26" t="n"/>
      <c r="F50" s="26" t="n"/>
      <c r="G50" s="26" t="n"/>
      <c r="H50" s="26" t="n"/>
      <c r="I50" s="26" t="n"/>
      <c r="J50" s="24" t="n"/>
      <c r="K50" s="24" t="n"/>
      <c r="L50" s="22">
        <f>IF(A50="","",IF(AND(F50="",E50=""),"",TODAY()-IF(F50="",E50,F50)))</f>
        <v/>
      </c>
      <c r="M50" s="22">
        <f>IF(OR(A50="",E50=""),"",TODAY()-E50)</f>
        <v/>
      </c>
      <c r="N50" s="22">
        <f>IF(OR(H50="",I50=""),"",I50-H50)</f>
        <v/>
      </c>
      <c r="O50" s="22">
        <f>IF(OR(F50="",G50=""),"",IF(G50-F50&gt;Settings!$B$8,"CRM activity, no buyer contact",""))</f>
        <v/>
      </c>
      <c r="P50" s="22">
        <f>IF(A50="","",IF(OR(C50="Closed won",C50="Closed lost"),"Closed",IF(L50="","Check dates",IF(L50&gt;=Settings!$B$5,"Likely dead",IF(L50&gt;=Settings!$B$4,"Dormant","Active")))))</f>
        <v/>
      </c>
      <c r="Q50" s="22">
        <f>IF(OR(P50="Dormant",P50="Likely dead"),ROUND(100*IFERROR(VLOOKUP(C50,Settings!$D$4:$E$8,2,FALSE),0.3)*MIN(1,N(D50)/Settings!$B$7)*IF(P50="Dormant",1-0.5*(L50-Settings!$B$4)/MAX(1,Settings!$B$5-Settings!$B$4),0.25),0),"")</f>
        <v/>
      </c>
      <c r="R50" s="22">
        <f>IF(P50="Dormant",IF(AND(N(D50)&gt;=Settings!$B$6,N(Q50)&gt;=40),"Re-engage now",IF(N(D50)&gt;=Settings!$B$6,"Investigate, then decide","Low value: batch or close")),IF(P50="Likely dead","Close out or recycle to nurture",IF(P50="Active","Leave: active",IF(P50="Check dates","Add dates",""))))</f>
        <v/>
      </c>
      <c r="S50" s="23">
        <f>IF(OR(R50="Re-engage now",R50="Investigate, then decide"),Q50+ROW()/1000000,"")</f>
        <v/>
      </c>
    </row>
    <row r="51">
      <c r="A51" s="24" t="n"/>
      <c r="B51" s="24" t="n"/>
      <c r="C51" s="24" t="n"/>
      <c r="D51" s="25" t="n"/>
      <c r="E51" s="26" t="n"/>
      <c r="F51" s="26" t="n"/>
      <c r="G51" s="26" t="n"/>
      <c r="H51" s="26" t="n"/>
      <c r="I51" s="26" t="n"/>
      <c r="J51" s="24" t="n"/>
      <c r="K51" s="24" t="n"/>
      <c r="L51" s="22">
        <f>IF(A51="","",IF(AND(F51="",E51=""),"",TODAY()-IF(F51="",E51,F51)))</f>
        <v/>
      </c>
      <c r="M51" s="22">
        <f>IF(OR(A51="",E51=""),"",TODAY()-E51)</f>
        <v/>
      </c>
      <c r="N51" s="22">
        <f>IF(OR(H51="",I51=""),"",I51-H51)</f>
        <v/>
      </c>
      <c r="O51" s="22">
        <f>IF(OR(F51="",G51=""),"",IF(G51-F51&gt;Settings!$B$8,"CRM activity, no buyer contact",""))</f>
        <v/>
      </c>
      <c r="P51" s="22">
        <f>IF(A51="","",IF(OR(C51="Closed won",C51="Closed lost"),"Closed",IF(L51="","Check dates",IF(L51&gt;=Settings!$B$5,"Likely dead",IF(L51&gt;=Settings!$B$4,"Dormant","Active")))))</f>
        <v/>
      </c>
      <c r="Q51" s="22">
        <f>IF(OR(P51="Dormant",P51="Likely dead"),ROUND(100*IFERROR(VLOOKUP(C51,Settings!$D$4:$E$8,2,FALSE),0.3)*MIN(1,N(D51)/Settings!$B$7)*IF(P51="Dormant",1-0.5*(L51-Settings!$B$4)/MAX(1,Settings!$B$5-Settings!$B$4),0.25),0),"")</f>
        <v/>
      </c>
      <c r="R51" s="22">
        <f>IF(P51="Dormant",IF(AND(N(D51)&gt;=Settings!$B$6,N(Q51)&gt;=40),"Re-engage now",IF(N(D51)&gt;=Settings!$B$6,"Investigate, then decide","Low value: batch or close")),IF(P51="Likely dead","Close out or recycle to nurture",IF(P51="Active","Leave: active",IF(P51="Check dates","Add dates",""))))</f>
        <v/>
      </c>
      <c r="S51" s="23">
        <f>IF(OR(R51="Re-engage now",R51="Investigate, then decide"),Q51+ROW()/1000000,"")</f>
        <v/>
      </c>
    </row>
    <row r="52">
      <c r="A52" s="24" t="n"/>
      <c r="B52" s="24" t="n"/>
      <c r="C52" s="24" t="n"/>
      <c r="D52" s="25" t="n"/>
      <c r="E52" s="26" t="n"/>
      <c r="F52" s="26" t="n"/>
      <c r="G52" s="26" t="n"/>
      <c r="H52" s="26" t="n"/>
      <c r="I52" s="26" t="n"/>
      <c r="J52" s="24" t="n"/>
      <c r="K52" s="24" t="n"/>
      <c r="L52" s="22">
        <f>IF(A52="","",IF(AND(F52="",E52=""),"",TODAY()-IF(F52="",E52,F52)))</f>
        <v/>
      </c>
      <c r="M52" s="22">
        <f>IF(OR(A52="",E52=""),"",TODAY()-E52)</f>
        <v/>
      </c>
      <c r="N52" s="22">
        <f>IF(OR(H52="",I52=""),"",I52-H52)</f>
        <v/>
      </c>
      <c r="O52" s="22">
        <f>IF(OR(F52="",G52=""),"",IF(G52-F52&gt;Settings!$B$8,"CRM activity, no buyer contact",""))</f>
        <v/>
      </c>
      <c r="P52" s="22">
        <f>IF(A52="","",IF(OR(C52="Closed won",C52="Closed lost"),"Closed",IF(L52="","Check dates",IF(L52&gt;=Settings!$B$5,"Likely dead",IF(L52&gt;=Settings!$B$4,"Dormant","Active")))))</f>
        <v/>
      </c>
      <c r="Q52" s="22">
        <f>IF(OR(P52="Dormant",P52="Likely dead"),ROUND(100*IFERROR(VLOOKUP(C52,Settings!$D$4:$E$8,2,FALSE),0.3)*MIN(1,N(D52)/Settings!$B$7)*IF(P52="Dormant",1-0.5*(L52-Settings!$B$4)/MAX(1,Settings!$B$5-Settings!$B$4),0.25),0),"")</f>
        <v/>
      </c>
      <c r="R52" s="22">
        <f>IF(P52="Dormant",IF(AND(N(D52)&gt;=Settings!$B$6,N(Q52)&gt;=40),"Re-engage now",IF(N(D52)&gt;=Settings!$B$6,"Investigate, then decide","Low value: batch or close")),IF(P52="Likely dead","Close out or recycle to nurture",IF(P52="Active","Leave: active",IF(P52="Check dates","Add dates",""))))</f>
        <v/>
      </c>
      <c r="S52" s="23">
        <f>IF(OR(R52="Re-engage now",R52="Investigate, then decide"),Q52+ROW()/1000000,"")</f>
        <v/>
      </c>
    </row>
    <row r="53">
      <c r="A53" s="24" t="n"/>
      <c r="B53" s="24" t="n"/>
      <c r="C53" s="24" t="n"/>
      <c r="D53" s="25" t="n"/>
      <c r="E53" s="26" t="n"/>
      <c r="F53" s="26" t="n"/>
      <c r="G53" s="26" t="n"/>
      <c r="H53" s="26" t="n"/>
      <c r="I53" s="26" t="n"/>
      <c r="J53" s="24" t="n"/>
      <c r="K53" s="24" t="n"/>
      <c r="L53" s="22">
        <f>IF(A53="","",IF(AND(F53="",E53=""),"",TODAY()-IF(F53="",E53,F53)))</f>
        <v/>
      </c>
      <c r="M53" s="22">
        <f>IF(OR(A53="",E53=""),"",TODAY()-E53)</f>
        <v/>
      </c>
      <c r="N53" s="22">
        <f>IF(OR(H53="",I53=""),"",I53-H53)</f>
        <v/>
      </c>
      <c r="O53" s="22">
        <f>IF(OR(F53="",G53=""),"",IF(G53-F53&gt;Settings!$B$8,"CRM activity, no buyer contact",""))</f>
        <v/>
      </c>
      <c r="P53" s="22">
        <f>IF(A53="","",IF(OR(C53="Closed won",C53="Closed lost"),"Closed",IF(L53="","Check dates",IF(L53&gt;=Settings!$B$5,"Likely dead",IF(L53&gt;=Settings!$B$4,"Dormant","Active")))))</f>
        <v/>
      </c>
      <c r="Q53" s="22">
        <f>IF(OR(P53="Dormant",P53="Likely dead"),ROUND(100*IFERROR(VLOOKUP(C53,Settings!$D$4:$E$8,2,FALSE),0.3)*MIN(1,N(D53)/Settings!$B$7)*IF(P53="Dormant",1-0.5*(L53-Settings!$B$4)/MAX(1,Settings!$B$5-Settings!$B$4),0.25),0),"")</f>
        <v/>
      </c>
      <c r="R53" s="22">
        <f>IF(P53="Dormant",IF(AND(N(D53)&gt;=Settings!$B$6,N(Q53)&gt;=40),"Re-engage now",IF(N(D53)&gt;=Settings!$B$6,"Investigate, then decide","Low value: batch or close")),IF(P53="Likely dead","Close out or recycle to nurture",IF(P53="Active","Leave: active",IF(P53="Check dates","Add dates",""))))</f>
        <v/>
      </c>
      <c r="S53" s="23">
        <f>IF(OR(R53="Re-engage now",R53="Investigate, then decide"),Q53+ROW()/1000000,"")</f>
        <v/>
      </c>
    </row>
    <row r="54">
      <c r="A54" s="24" t="n"/>
      <c r="B54" s="24" t="n"/>
      <c r="C54" s="24" t="n"/>
      <c r="D54" s="25" t="n"/>
      <c r="E54" s="26" t="n"/>
      <c r="F54" s="26" t="n"/>
      <c r="G54" s="26" t="n"/>
      <c r="H54" s="26" t="n"/>
      <c r="I54" s="26" t="n"/>
      <c r="J54" s="24" t="n"/>
      <c r="K54" s="24" t="n"/>
      <c r="L54" s="22">
        <f>IF(A54="","",IF(AND(F54="",E54=""),"",TODAY()-IF(F54="",E54,F54)))</f>
        <v/>
      </c>
      <c r="M54" s="22">
        <f>IF(OR(A54="",E54=""),"",TODAY()-E54)</f>
        <v/>
      </c>
      <c r="N54" s="22">
        <f>IF(OR(H54="",I54=""),"",I54-H54)</f>
        <v/>
      </c>
      <c r="O54" s="22">
        <f>IF(OR(F54="",G54=""),"",IF(G54-F54&gt;Settings!$B$8,"CRM activity, no buyer contact",""))</f>
        <v/>
      </c>
      <c r="P54" s="22">
        <f>IF(A54="","",IF(OR(C54="Closed won",C54="Closed lost"),"Closed",IF(L54="","Check dates",IF(L54&gt;=Settings!$B$5,"Likely dead",IF(L54&gt;=Settings!$B$4,"Dormant","Active")))))</f>
        <v/>
      </c>
      <c r="Q54" s="22">
        <f>IF(OR(P54="Dormant",P54="Likely dead"),ROUND(100*IFERROR(VLOOKUP(C54,Settings!$D$4:$E$8,2,FALSE),0.3)*MIN(1,N(D54)/Settings!$B$7)*IF(P54="Dormant",1-0.5*(L54-Settings!$B$4)/MAX(1,Settings!$B$5-Settings!$B$4),0.25),0),"")</f>
        <v/>
      </c>
      <c r="R54" s="22">
        <f>IF(P54="Dormant",IF(AND(N(D54)&gt;=Settings!$B$6,N(Q54)&gt;=40),"Re-engage now",IF(N(D54)&gt;=Settings!$B$6,"Investigate, then decide","Low value: batch or close")),IF(P54="Likely dead","Close out or recycle to nurture",IF(P54="Active","Leave: active",IF(P54="Check dates","Add dates",""))))</f>
        <v/>
      </c>
      <c r="S54" s="23">
        <f>IF(OR(R54="Re-engage now",R54="Investigate, then decide"),Q54+ROW()/1000000,"")</f>
        <v/>
      </c>
    </row>
    <row r="55">
      <c r="A55" s="24" t="n"/>
      <c r="B55" s="24" t="n"/>
      <c r="C55" s="24" t="n"/>
      <c r="D55" s="25" t="n"/>
      <c r="E55" s="26" t="n"/>
      <c r="F55" s="26" t="n"/>
      <c r="G55" s="26" t="n"/>
      <c r="H55" s="26" t="n"/>
      <c r="I55" s="26" t="n"/>
      <c r="J55" s="24" t="n"/>
      <c r="K55" s="24" t="n"/>
      <c r="L55" s="22">
        <f>IF(A55="","",IF(AND(F55="",E55=""),"",TODAY()-IF(F55="",E55,F55)))</f>
        <v/>
      </c>
      <c r="M55" s="22">
        <f>IF(OR(A55="",E55=""),"",TODAY()-E55)</f>
        <v/>
      </c>
      <c r="N55" s="22">
        <f>IF(OR(H55="",I55=""),"",I55-H55)</f>
        <v/>
      </c>
      <c r="O55" s="22">
        <f>IF(OR(F55="",G55=""),"",IF(G55-F55&gt;Settings!$B$8,"CRM activity, no buyer contact",""))</f>
        <v/>
      </c>
      <c r="P55" s="22">
        <f>IF(A55="","",IF(OR(C55="Closed won",C55="Closed lost"),"Closed",IF(L55="","Check dates",IF(L55&gt;=Settings!$B$5,"Likely dead",IF(L55&gt;=Settings!$B$4,"Dormant","Active")))))</f>
        <v/>
      </c>
      <c r="Q55" s="22">
        <f>IF(OR(P55="Dormant",P55="Likely dead"),ROUND(100*IFERROR(VLOOKUP(C55,Settings!$D$4:$E$8,2,FALSE),0.3)*MIN(1,N(D55)/Settings!$B$7)*IF(P55="Dormant",1-0.5*(L55-Settings!$B$4)/MAX(1,Settings!$B$5-Settings!$B$4),0.25),0),"")</f>
        <v/>
      </c>
      <c r="R55" s="22">
        <f>IF(P55="Dormant",IF(AND(N(D55)&gt;=Settings!$B$6,N(Q55)&gt;=40),"Re-engage now",IF(N(D55)&gt;=Settings!$B$6,"Investigate, then decide","Low value: batch or close")),IF(P55="Likely dead","Close out or recycle to nurture",IF(P55="Active","Leave: active",IF(P55="Check dates","Add dates",""))))</f>
        <v/>
      </c>
      <c r="S55" s="23">
        <f>IF(OR(R55="Re-engage now",R55="Investigate, then decide"),Q55+ROW()/1000000,"")</f>
        <v/>
      </c>
    </row>
    <row r="56">
      <c r="A56" s="24" t="n"/>
      <c r="B56" s="24" t="n"/>
      <c r="C56" s="24" t="n"/>
      <c r="D56" s="25" t="n"/>
      <c r="E56" s="26" t="n"/>
      <c r="F56" s="26" t="n"/>
      <c r="G56" s="26" t="n"/>
      <c r="H56" s="26" t="n"/>
      <c r="I56" s="26" t="n"/>
      <c r="J56" s="24" t="n"/>
      <c r="K56" s="24" t="n"/>
      <c r="L56" s="22">
        <f>IF(A56="","",IF(AND(F56="",E56=""),"",TODAY()-IF(F56="",E56,F56)))</f>
        <v/>
      </c>
      <c r="M56" s="22">
        <f>IF(OR(A56="",E56=""),"",TODAY()-E56)</f>
        <v/>
      </c>
      <c r="N56" s="22">
        <f>IF(OR(H56="",I56=""),"",I56-H56)</f>
        <v/>
      </c>
      <c r="O56" s="22">
        <f>IF(OR(F56="",G56=""),"",IF(G56-F56&gt;Settings!$B$8,"CRM activity, no buyer contact",""))</f>
        <v/>
      </c>
      <c r="P56" s="22">
        <f>IF(A56="","",IF(OR(C56="Closed won",C56="Closed lost"),"Closed",IF(L56="","Check dates",IF(L56&gt;=Settings!$B$5,"Likely dead",IF(L56&gt;=Settings!$B$4,"Dormant","Active")))))</f>
        <v/>
      </c>
      <c r="Q56" s="22">
        <f>IF(OR(P56="Dormant",P56="Likely dead"),ROUND(100*IFERROR(VLOOKUP(C56,Settings!$D$4:$E$8,2,FALSE),0.3)*MIN(1,N(D56)/Settings!$B$7)*IF(P56="Dormant",1-0.5*(L56-Settings!$B$4)/MAX(1,Settings!$B$5-Settings!$B$4),0.25),0),"")</f>
        <v/>
      </c>
      <c r="R56" s="22">
        <f>IF(P56="Dormant",IF(AND(N(D56)&gt;=Settings!$B$6,N(Q56)&gt;=40),"Re-engage now",IF(N(D56)&gt;=Settings!$B$6,"Investigate, then decide","Low value: batch or close")),IF(P56="Likely dead","Close out or recycle to nurture",IF(P56="Active","Leave: active",IF(P56="Check dates","Add dates",""))))</f>
        <v/>
      </c>
      <c r="S56" s="23">
        <f>IF(OR(R56="Re-engage now",R56="Investigate, then decide"),Q56+ROW()/1000000,"")</f>
        <v/>
      </c>
    </row>
    <row r="57">
      <c r="A57" s="24" t="n"/>
      <c r="B57" s="24" t="n"/>
      <c r="C57" s="24" t="n"/>
      <c r="D57" s="25" t="n"/>
      <c r="E57" s="26" t="n"/>
      <c r="F57" s="26" t="n"/>
      <c r="G57" s="26" t="n"/>
      <c r="H57" s="26" t="n"/>
      <c r="I57" s="26" t="n"/>
      <c r="J57" s="24" t="n"/>
      <c r="K57" s="24" t="n"/>
      <c r="L57" s="22">
        <f>IF(A57="","",IF(AND(F57="",E57=""),"",TODAY()-IF(F57="",E57,F57)))</f>
        <v/>
      </c>
      <c r="M57" s="22">
        <f>IF(OR(A57="",E57=""),"",TODAY()-E57)</f>
        <v/>
      </c>
      <c r="N57" s="22">
        <f>IF(OR(H57="",I57=""),"",I57-H57)</f>
        <v/>
      </c>
      <c r="O57" s="22">
        <f>IF(OR(F57="",G57=""),"",IF(G57-F57&gt;Settings!$B$8,"CRM activity, no buyer contact",""))</f>
        <v/>
      </c>
      <c r="P57" s="22">
        <f>IF(A57="","",IF(OR(C57="Closed won",C57="Closed lost"),"Closed",IF(L57="","Check dates",IF(L57&gt;=Settings!$B$5,"Likely dead",IF(L57&gt;=Settings!$B$4,"Dormant","Active")))))</f>
        <v/>
      </c>
      <c r="Q57" s="22">
        <f>IF(OR(P57="Dormant",P57="Likely dead"),ROUND(100*IFERROR(VLOOKUP(C57,Settings!$D$4:$E$8,2,FALSE),0.3)*MIN(1,N(D57)/Settings!$B$7)*IF(P57="Dormant",1-0.5*(L57-Settings!$B$4)/MAX(1,Settings!$B$5-Settings!$B$4),0.25),0),"")</f>
        <v/>
      </c>
      <c r="R57" s="22">
        <f>IF(P57="Dormant",IF(AND(N(D57)&gt;=Settings!$B$6,N(Q57)&gt;=40),"Re-engage now",IF(N(D57)&gt;=Settings!$B$6,"Investigate, then decide","Low value: batch or close")),IF(P57="Likely dead","Close out or recycle to nurture",IF(P57="Active","Leave: active",IF(P57="Check dates","Add dates",""))))</f>
        <v/>
      </c>
      <c r="S57" s="23">
        <f>IF(OR(R57="Re-engage now",R57="Investigate, then decide"),Q57+ROW()/1000000,"")</f>
        <v/>
      </c>
    </row>
    <row r="58">
      <c r="A58" s="24" t="n"/>
      <c r="B58" s="24" t="n"/>
      <c r="C58" s="24" t="n"/>
      <c r="D58" s="25" t="n"/>
      <c r="E58" s="26" t="n"/>
      <c r="F58" s="26" t="n"/>
      <c r="G58" s="26" t="n"/>
      <c r="H58" s="26" t="n"/>
      <c r="I58" s="26" t="n"/>
      <c r="J58" s="24" t="n"/>
      <c r="K58" s="24" t="n"/>
      <c r="L58" s="22">
        <f>IF(A58="","",IF(AND(F58="",E58=""),"",TODAY()-IF(F58="",E58,F58)))</f>
        <v/>
      </c>
      <c r="M58" s="22">
        <f>IF(OR(A58="",E58=""),"",TODAY()-E58)</f>
        <v/>
      </c>
      <c r="N58" s="22">
        <f>IF(OR(H58="",I58=""),"",I58-H58)</f>
        <v/>
      </c>
      <c r="O58" s="22">
        <f>IF(OR(F58="",G58=""),"",IF(G58-F58&gt;Settings!$B$8,"CRM activity, no buyer contact",""))</f>
        <v/>
      </c>
      <c r="P58" s="22">
        <f>IF(A58="","",IF(OR(C58="Closed won",C58="Closed lost"),"Closed",IF(L58="","Check dates",IF(L58&gt;=Settings!$B$5,"Likely dead",IF(L58&gt;=Settings!$B$4,"Dormant","Active")))))</f>
        <v/>
      </c>
      <c r="Q58" s="22">
        <f>IF(OR(P58="Dormant",P58="Likely dead"),ROUND(100*IFERROR(VLOOKUP(C58,Settings!$D$4:$E$8,2,FALSE),0.3)*MIN(1,N(D58)/Settings!$B$7)*IF(P58="Dormant",1-0.5*(L58-Settings!$B$4)/MAX(1,Settings!$B$5-Settings!$B$4),0.25),0),"")</f>
        <v/>
      </c>
      <c r="R58" s="22">
        <f>IF(P58="Dormant",IF(AND(N(D58)&gt;=Settings!$B$6,N(Q58)&gt;=40),"Re-engage now",IF(N(D58)&gt;=Settings!$B$6,"Investigate, then decide","Low value: batch or close")),IF(P58="Likely dead","Close out or recycle to nurture",IF(P58="Active","Leave: active",IF(P58="Check dates","Add dates",""))))</f>
        <v/>
      </c>
      <c r="S58" s="23">
        <f>IF(OR(R58="Re-engage now",R58="Investigate, then decide"),Q58+ROW()/1000000,"")</f>
        <v/>
      </c>
    </row>
    <row r="59">
      <c r="A59" s="24" t="n"/>
      <c r="B59" s="24" t="n"/>
      <c r="C59" s="24" t="n"/>
      <c r="D59" s="25" t="n"/>
      <c r="E59" s="26" t="n"/>
      <c r="F59" s="26" t="n"/>
      <c r="G59" s="26" t="n"/>
      <c r="H59" s="26" t="n"/>
      <c r="I59" s="26" t="n"/>
      <c r="J59" s="24" t="n"/>
      <c r="K59" s="24" t="n"/>
      <c r="L59" s="22">
        <f>IF(A59="","",IF(AND(F59="",E59=""),"",TODAY()-IF(F59="",E59,F59)))</f>
        <v/>
      </c>
      <c r="M59" s="22">
        <f>IF(OR(A59="",E59=""),"",TODAY()-E59)</f>
        <v/>
      </c>
      <c r="N59" s="22">
        <f>IF(OR(H59="",I59=""),"",I59-H59)</f>
        <v/>
      </c>
      <c r="O59" s="22">
        <f>IF(OR(F59="",G59=""),"",IF(G59-F59&gt;Settings!$B$8,"CRM activity, no buyer contact",""))</f>
        <v/>
      </c>
      <c r="P59" s="22">
        <f>IF(A59="","",IF(OR(C59="Closed won",C59="Closed lost"),"Closed",IF(L59="","Check dates",IF(L59&gt;=Settings!$B$5,"Likely dead",IF(L59&gt;=Settings!$B$4,"Dormant","Active")))))</f>
        <v/>
      </c>
      <c r="Q59" s="22">
        <f>IF(OR(P59="Dormant",P59="Likely dead"),ROUND(100*IFERROR(VLOOKUP(C59,Settings!$D$4:$E$8,2,FALSE),0.3)*MIN(1,N(D59)/Settings!$B$7)*IF(P59="Dormant",1-0.5*(L59-Settings!$B$4)/MAX(1,Settings!$B$5-Settings!$B$4),0.25),0),"")</f>
        <v/>
      </c>
      <c r="R59" s="22">
        <f>IF(P59="Dormant",IF(AND(N(D59)&gt;=Settings!$B$6,N(Q59)&gt;=40),"Re-engage now",IF(N(D59)&gt;=Settings!$B$6,"Investigate, then decide","Low value: batch or close")),IF(P59="Likely dead","Close out or recycle to nurture",IF(P59="Active","Leave: active",IF(P59="Check dates","Add dates",""))))</f>
        <v/>
      </c>
      <c r="S59" s="23">
        <f>IF(OR(R59="Re-engage now",R59="Investigate, then decide"),Q59+ROW()/1000000,"")</f>
        <v/>
      </c>
    </row>
    <row r="60">
      <c r="A60" s="24" t="n"/>
      <c r="B60" s="24" t="n"/>
      <c r="C60" s="24" t="n"/>
      <c r="D60" s="25" t="n"/>
      <c r="E60" s="26" t="n"/>
      <c r="F60" s="26" t="n"/>
      <c r="G60" s="26" t="n"/>
      <c r="H60" s="26" t="n"/>
      <c r="I60" s="26" t="n"/>
      <c r="J60" s="24" t="n"/>
      <c r="K60" s="24" t="n"/>
      <c r="L60" s="22">
        <f>IF(A60="","",IF(AND(F60="",E60=""),"",TODAY()-IF(F60="",E60,F60)))</f>
        <v/>
      </c>
      <c r="M60" s="22">
        <f>IF(OR(A60="",E60=""),"",TODAY()-E60)</f>
        <v/>
      </c>
      <c r="N60" s="22">
        <f>IF(OR(H60="",I60=""),"",I60-H60)</f>
        <v/>
      </c>
      <c r="O60" s="22">
        <f>IF(OR(F60="",G60=""),"",IF(G60-F60&gt;Settings!$B$8,"CRM activity, no buyer contact",""))</f>
        <v/>
      </c>
      <c r="P60" s="22">
        <f>IF(A60="","",IF(OR(C60="Closed won",C60="Closed lost"),"Closed",IF(L60="","Check dates",IF(L60&gt;=Settings!$B$5,"Likely dead",IF(L60&gt;=Settings!$B$4,"Dormant","Active")))))</f>
        <v/>
      </c>
      <c r="Q60" s="22">
        <f>IF(OR(P60="Dormant",P60="Likely dead"),ROUND(100*IFERROR(VLOOKUP(C60,Settings!$D$4:$E$8,2,FALSE),0.3)*MIN(1,N(D60)/Settings!$B$7)*IF(P60="Dormant",1-0.5*(L60-Settings!$B$4)/MAX(1,Settings!$B$5-Settings!$B$4),0.25),0),"")</f>
        <v/>
      </c>
      <c r="R60" s="22">
        <f>IF(P60="Dormant",IF(AND(N(D60)&gt;=Settings!$B$6,N(Q60)&gt;=40),"Re-engage now",IF(N(D60)&gt;=Settings!$B$6,"Investigate, then decide","Low value: batch or close")),IF(P60="Likely dead","Close out or recycle to nurture",IF(P60="Active","Leave: active",IF(P60="Check dates","Add dates",""))))</f>
        <v/>
      </c>
      <c r="S60" s="23">
        <f>IF(OR(R60="Re-engage now",R60="Investigate, then decide"),Q60+ROW()/1000000,"")</f>
        <v/>
      </c>
    </row>
    <row r="61">
      <c r="A61" s="24" t="n"/>
      <c r="B61" s="24" t="n"/>
      <c r="C61" s="24" t="n"/>
      <c r="D61" s="25" t="n"/>
      <c r="E61" s="26" t="n"/>
      <c r="F61" s="26" t="n"/>
      <c r="G61" s="26" t="n"/>
      <c r="H61" s="26" t="n"/>
      <c r="I61" s="26" t="n"/>
      <c r="J61" s="24" t="n"/>
      <c r="K61" s="24" t="n"/>
      <c r="L61" s="22">
        <f>IF(A61="","",IF(AND(F61="",E61=""),"",TODAY()-IF(F61="",E61,F61)))</f>
        <v/>
      </c>
      <c r="M61" s="22">
        <f>IF(OR(A61="",E61=""),"",TODAY()-E61)</f>
        <v/>
      </c>
      <c r="N61" s="22">
        <f>IF(OR(H61="",I61=""),"",I61-H61)</f>
        <v/>
      </c>
      <c r="O61" s="22">
        <f>IF(OR(F61="",G61=""),"",IF(G61-F61&gt;Settings!$B$8,"CRM activity, no buyer contact",""))</f>
        <v/>
      </c>
      <c r="P61" s="22">
        <f>IF(A61="","",IF(OR(C61="Closed won",C61="Closed lost"),"Closed",IF(L61="","Check dates",IF(L61&gt;=Settings!$B$5,"Likely dead",IF(L61&gt;=Settings!$B$4,"Dormant","Active")))))</f>
        <v/>
      </c>
      <c r="Q61" s="22">
        <f>IF(OR(P61="Dormant",P61="Likely dead"),ROUND(100*IFERROR(VLOOKUP(C61,Settings!$D$4:$E$8,2,FALSE),0.3)*MIN(1,N(D61)/Settings!$B$7)*IF(P61="Dormant",1-0.5*(L61-Settings!$B$4)/MAX(1,Settings!$B$5-Settings!$B$4),0.25),0),"")</f>
        <v/>
      </c>
      <c r="R61" s="22">
        <f>IF(P61="Dormant",IF(AND(N(D61)&gt;=Settings!$B$6,N(Q61)&gt;=40),"Re-engage now",IF(N(D61)&gt;=Settings!$B$6,"Investigate, then decide","Low value: batch or close")),IF(P61="Likely dead","Close out or recycle to nurture",IF(P61="Active","Leave: active",IF(P61="Check dates","Add dates",""))))</f>
        <v/>
      </c>
      <c r="S61" s="23">
        <f>IF(OR(R61="Re-engage now",R61="Investigate, then decide"),Q61+ROW()/1000000,"")</f>
        <v/>
      </c>
    </row>
    <row r="62">
      <c r="A62" s="24" t="n"/>
      <c r="B62" s="24" t="n"/>
      <c r="C62" s="24" t="n"/>
      <c r="D62" s="25" t="n"/>
      <c r="E62" s="26" t="n"/>
      <c r="F62" s="26" t="n"/>
      <c r="G62" s="26" t="n"/>
      <c r="H62" s="26" t="n"/>
      <c r="I62" s="26" t="n"/>
      <c r="J62" s="24" t="n"/>
      <c r="K62" s="24" t="n"/>
      <c r="L62" s="22">
        <f>IF(A62="","",IF(AND(F62="",E62=""),"",TODAY()-IF(F62="",E62,F62)))</f>
        <v/>
      </c>
      <c r="M62" s="22">
        <f>IF(OR(A62="",E62=""),"",TODAY()-E62)</f>
        <v/>
      </c>
      <c r="N62" s="22">
        <f>IF(OR(H62="",I62=""),"",I62-H62)</f>
        <v/>
      </c>
      <c r="O62" s="22">
        <f>IF(OR(F62="",G62=""),"",IF(G62-F62&gt;Settings!$B$8,"CRM activity, no buyer contact",""))</f>
        <v/>
      </c>
      <c r="P62" s="22">
        <f>IF(A62="","",IF(OR(C62="Closed won",C62="Closed lost"),"Closed",IF(L62="","Check dates",IF(L62&gt;=Settings!$B$5,"Likely dead",IF(L62&gt;=Settings!$B$4,"Dormant","Active")))))</f>
        <v/>
      </c>
      <c r="Q62" s="22">
        <f>IF(OR(P62="Dormant",P62="Likely dead"),ROUND(100*IFERROR(VLOOKUP(C62,Settings!$D$4:$E$8,2,FALSE),0.3)*MIN(1,N(D62)/Settings!$B$7)*IF(P62="Dormant",1-0.5*(L62-Settings!$B$4)/MAX(1,Settings!$B$5-Settings!$B$4),0.25),0),"")</f>
        <v/>
      </c>
      <c r="R62" s="22">
        <f>IF(P62="Dormant",IF(AND(N(D62)&gt;=Settings!$B$6,N(Q62)&gt;=40),"Re-engage now",IF(N(D62)&gt;=Settings!$B$6,"Investigate, then decide","Low value: batch or close")),IF(P62="Likely dead","Close out or recycle to nurture",IF(P62="Active","Leave: active",IF(P62="Check dates","Add dates",""))))</f>
        <v/>
      </c>
      <c r="S62" s="23">
        <f>IF(OR(R62="Re-engage now",R62="Investigate, then decide"),Q62+ROW()/1000000,"")</f>
        <v/>
      </c>
    </row>
    <row r="63">
      <c r="A63" s="24" t="n"/>
      <c r="B63" s="24" t="n"/>
      <c r="C63" s="24" t="n"/>
      <c r="D63" s="25" t="n"/>
      <c r="E63" s="26" t="n"/>
      <c r="F63" s="26" t="n"/>
      <c r="G63" s="26" t="n"/>
      <c r="H63" s="26" t="n"/>
      <c r="I63" s="26" t="n"/>
      <c r="J63" s="24" t="n"/>
      <c r="K63" s="24" t="n"/>
      <c r="L63" s="22">
        <f>IF(A63="","",IF(AND(F63="",E63=""),"",TODAY()-IF(F63="",E63,F63)))</f>
        <v/>
      </c>
      <c r="M63" s="22">
        <f>IF(OR(A63="",E63=""),"",TODAY()-E63)</f>
        <v/>
      </c>
      <c r="N63" s="22">
        <f>IF(OR(H63="",I63=""),"",I63-H63)</f>
        <v/>
      </c>
      <c r="O63" s="22">
        <f>IF(OR(F63="",G63=""),"",IF(G63-F63&gt;Settings!$B$8,"CRM activity, no buyer contact",""))</f>
        <v/>
      </c>
      <c r="P63" s="22">
        <f>IF(A63="","",IF(OR(C63="Closed won",C63="Closed lost"),"Closed",IF(L63="","Check dates",IF(L63&gt;=Settings!$B$5,"Likely dead",IF(L63&gt;=Settings!$B$4,"Dormant","Active")))))</f>
        <v/>
      </c>
      <c r="Q63" s="22">
        <f>IF(OR(P63="Dormant",P63="Likely dead"),ROUND(100*IFERROR(VLOOKUP(C63,Settings!$D$4:$E$8,2,FALSE),0.3)*MIN(1,N(D63)/Settings!$B$7)*IF(P63="Dormant",1-0.5*(L63-Settings!$B$4)/MAX(1,Settings!$B$5-Settings!$B$4),0.25),0),"")</f>
        <v/>
      </c>
      <c r="R63" s="22">
        <f>IF(P63="Dormant",IF(AND(N(D63)&gt;=Settings!$B$6,N(Q63)&gt;=40),"Re-engage now",IF(N(D63)&gt;=Settings!$B$6,"Investigate, then decide","Low value: batch or close")),IF(P63="Likely dead","Close out or recycle to nurture",IF(P63="Active","Leave: active",IF(P63="Check dates","Add dates",""))))</f>
        <v/>
      </c>
      <c r="S63" s="23">
        <f>IF(OR(R63="Re-engage now",R63="Investigate, then decide"),Q63+ROW()/1000000,"")</f>
        <v/>
      </c>
    </row>
    <row r="64">
      <c r="A64" s="24" t="n"/>
      <c r="B64" s="24" t="n"/>
      <c r="C64" s="24" t="n"/>
      <c r="D64" s="25" t="n"/>
      <c r="E64" s="26" t="n"/>
      <c r="F64" s="26" t="n"/>
      <c r="G64" s="26" t="n"/>
      <c r="H64" s="26" t="n"/>
      <c r="I64" s="26" t="n"/>
      <c r="J64" s="24" t="n"/>
      <c r="K64" s="24" t="n"/>
      <c r="L64" s="22">
        <f>IF(A64="","",IF(AND(F64="",E64=""),"",TODAY()-IF(F64="",E64,F64)))</f>
        <v/>
      </c>
      <c r="M64" s="22">
        <f>IF(OR(A64="",E64=""),"",TODAY()-E64)</f>
        <v/>
      </c>
      <c r="N64" s="22">
        <f>IF(OR(H64="",I64=""),"",I64-H64)</f>
        <v/>
      </c>
      <c r="O64" s="22">
        <f>IF(OR(F64="",G64=""),"",IF(G64-F64&gt;Settings!$B$8,"CRM activity, no buyer contact",""))</f>
        <v/>
      </c>
      <c r="P64" s="22">
        <f>IF(A64="","",IF(OR(C64="Closed won",C64="Closed lost"),"Closed",IF(L64="","Check dates",IF(L64&gt;=Settings!$B$5,"Likely dead",IF(L64&gt;=Settings!$B$4,"Dormant","Active")))))</f>
        <v/>
      </c>
      <c r="Q64" s="22">
        <f>IF(OR(P64="Dormant",P64="Likely dead"),ROUND(100*IFERROR(VLOOKUP(C64,Settings!$D$4:$E$8,2,FALSE),0.3)*MIN(1,N(D64)/Settings!$B$7)*IF(P64="Dormant",1-0.5*(L64-Settings!$B$4)/MAX(1,Settings!$B$5-Settings!$B$4),0.25),0),"")</f>
        <v/>
      </c>
      <c r="R64" s="22">
        <f>IF(P64="Dormant",IF(AND(N(D64)&gt;=Settings!$B$6,N(Q64)&gt;=40),"Re-engage now",IF(N(D64)&gt;=Settings!$B$6,"Investigate, then decide","Low value: batch or close")),IF(P64="Likely dead","Close out or recycle to nurture",IF(P64="Active","Leave: active",IF(P64="Check dates","Add dates",""))))</f>
        <v/>
      </c>
      <c r="S64" s="23">
        <f>IF(OR(R64="Re-engage now",R64="Investigate, then decide"),Q64+ROW()/1000000,"")</f>
        <v/>
      </c>
    </row>
    <row r="65">
      <c r="A65" s="24" t="n"/>
      <c r="B65" s="24" t="n"/>
      <c r="C65" s="24" t="n"/>
      <c r="D65" s="25" t="n"/>
      <c r="E65" s="26" t="n"/>
      <c r="F65" s="26" t="n"/>
      <c r="G65" s="26" t="n"/>
      <c r="H65" s="26" t="n"/>
      <c r="I65" s="26" t="n"/>
      <c r="J65" s="24" t="n"/>
      <c r="K65" s="24" t="n"/>
      <c r="L65" s="22">
        <f>IF(A65="","",IF(AND(F65="",E65=""),"",TODAY()-IF(F65="",E65,F65)))</f>
        <v/>
      </c>
      <c r="M65" s="22">
        <f>IF(OR(A65="",E65=""),"",TODAY()-E65)</f>
        <v/>
      </c>
      <c r="N65" s="22">
        <f>IF(OR(H65="",I65=""),"",I65-H65)</f>
        <v/>
      </c>
      <c r="O65" s="22">
        <f>IF(OR(F65="",G65=""),"",IF(G65-F65&gt;Settings!$B$8,"CRM activity, no buyer contact",""))</f>
        <v/>
      </c>
      <c r="P65" s="22">
        <f>IF(A65="","",IF(OR(C65="Closed won",C65="Closed lost"),"Closed",IF(L65="","Check dates",IF(L65&gt;=Settings!$B$5,"Likely dead",IF(L65&gt;=Settings!$B$4,"Dormant","Active")))))</f>
        <v/>
      </c>
      <c r="Q65" s="22">
        <f>IF(OR(P65="Dormant",P65="Likely dead"),ROUND(100*IFERROR(VLOOKUP(C65,Settings!$D$4:$E$8,2,FALSE),0.3)*MIN(1,N(D65)/Settings!$B$7)*IF(P65="Dormant",1-0.5*(L65-Settings!$B$4)/MAX(1,Settings!$B$5-Settings!$B$4),0.25),0),"")</f>
        <v/>
      </c>
      <c r="R65" s="22">
        <f>IF(P65="Dormant",IF(AND(N(D65)&gt;=Settings!$B$6,N(Q65)&gt;=40),"Re-engage now",IF(N(D65)&gt;=Settings!$B$6,"Investigate, then decide","Low value: batch or close")),IF(P65="Likely dead","Close out or recycle to nurture",IF(P65="Active","Leave: active",IF(P65="Check dates","Add dates",""))))</f>
        <v/>
      </c>
      <c r="S65" s="23">
        <f>IF(OR(R65="Re-engage now",R65="Investigate, then decide"),Q65+ROW()/1000000,"")</f>
        <v/>
      </c>
    </row>
    <row r="66">
      <c r="A66" s="24" t="n"/>
      <c r="B66" s="24" t="n"/>
      <c r="C66" s="24" t="n"/>
      <c r="D66" s="25" t="n"/>
      <c r="E66" s="26" t="n"/>
      <c r="F66" s="26" t="n"/>
      <c r="G66" s="26" t="n"/>
      <c r="H66" s="26" t="n"/>
      <c r="I66" s="26" t="n"/>
      <c r="J66" s="24" t="n"/>
      <c r="K66" s="24" t="n"/>
      <c r="L66" s="22">
        <f>IF(A66="","",IF(AND(F66="",E66=""),"",TODAY()-IF(F66="",E66,F66)))</f>
        <v/>
      </c>
      <c r="M66" s="22">
        <f>IF(OR(A66="",E66=""),"",TODAY()-E66)</f>
        <v/>
      </c>
      <c r="N66" s="22">
        <f>IF(OR(H66="",I66=""),"",I66-H66)</f>
        <v/>
      </c>
      <c r="O66" s="22">
        <f>IF(OR(F66="",G66=""),"",IF(G66-F66&gt;Settings!$B$8,"CRM activity, no buyer contact",""))</f>
        <v/>
      </c>
      <c r="P66" s="22">
        <f>IF(A66="","",IF(OR(C66="Closed won",C66="Closed lost"),"Closed",IF(L66="","Check dates",IF(L66&gt;=Settings!$B$5,"Likely dead",IF(L66&gt;=Settings!$B$4,"Dormant","Active")))))</f>
        <v/>
      </c>
      <c r="Q66" s="22">
        <f>IF(OR(P66="Dormant",P66="Likely dead"),ROUND(100*IFERROR(VLOOKUP(C66,Settings!$D$4:$E$8,2,FALSE),0.3)*MIN(1,N(D66)/Settings!$B$7)*IF(P66="Dormant",1-0.5*(L66-Settings!$B$4)/MAX(1,Settings!$B$5-Settings!$B$4),0.25),0),"")</f>
        <v/>
      </c>
      <c r="R66" s="22">
        <f>IF(P66="Dormant",IF(AND(N(D66)&gt;=Settings!$B$6,N(Q66)&gt;=40),"Re-engage now",IF(N(D66)&gt;=Settings!$B$6,"Investigate, then decide","Low value: batch or close")),IF(P66="Likely dead","Close out or recycle to nurture",IF(P66="Active","Leave: active",IF(P66="Check dates","Add dates",""))))</f>
        <v/>
      </c>
      <c r="S66" s="23">
        <f>IF(OR(R66="Re-engage now",R66="Investigate, then decide"),Q66+ROW()/1000000,"")</f>
        <v/>
      </c>
    </row>
    <row r="67">
      <c r="A67" s="24" t="n"/>
      <c r="B67" s="24" t="n"/>
      <c r="C67" s="24" t="n"/>
      <c r="D67" s="25" t="n"/>
      <c r="E67" s="26" t="n"/>
      <c r="F67" s="26" t="n"/>
      <c r="G67" s="26" t="n"/>
      <c r="H67" s="26" t="n"/>
      <c r="I67" s="26" t="n"/>
      <c r="J67" s="24" t="n"/>
      <c r="K67" s="24" t="n"/>
      <c r="L67" s="22">
        <f>IF(A67="","",IF(AND(F67="",E67=""),"",TODAY()-IF(F67="",E67,F67)))</f>
        <v/>
      </c>
      <c r="M67" s="22">
        <f>IF(OR(A67="",E67=""),"",TODAY()-E67)</f>
        <v/>
      </c>
      <c r="N67" s="22">
        <f>IF(OR(H67="",I67=""),"",I67-H67)</f>
        <v/>
      </c>
      <c r="O67" s="22">
        <f>IF(OR(F67="",G67=""),"",IF(G67-F67&gt;Settings!$B$8,"CRM activity, no buyer contact",""))</f>
        <v/>
      </c>
      <c r="P67" s="22">
        <f>IF(A67="","",IF(OR(C67="Closed won",C67="Closed lost"),"Closed",IF(L67="","Check dates",IF(L67&gt;=Settings!$B$5,"Likely dead",IF(L67&gt;=Settings!$B$4,"Dormant","Active")))))</f>
        <v/>
      </c>
      <c r="Q67" s="22">
        <f>IF(OR(P67="Dormant",P67="Likely dead"),ROUND(100*IFERROR(VLOOKUP(C67,Settings!$D$4:$E$8,2,FALSE),0.3)*MIN(1,N(D67)/Settings!$B$7)*IF(P67="Dormant",1-0.5*(L67-Settings!$B$4)/MAX(1,Settings!$B$5-Settings!$B$4),0.25),0),"")</f>
        <v/>
      </c>
      <c r="R67" s="22">
        <f>IF(P67="Dormant",IF(AND(N(D67)&gt;=Settings!$B$6,N(Q67)&gt;=40),"Re-engage now",IF(N(D67)&gt;=Settings!$B$6,"Investigate, then decide","Low value: batch or close")),IF(P67="Likely dead","Close out or recycle to nurture",IF(P67="Active","Leave: active",IF(P67="Check dates","Add dates",""))))</f>
        <v/>
      </c>
      <c r="S67" s="23">
        <f>IF(OR(R67="Re-engage now",R67="Investigate, then decide"),Q67+ROW()/1000000,"")</f>
        <v/>
      </c>
    </row>
    <row r="68">
      <c r="A68" s="24" t="n"/>
      <c r="B68" s="24" t="n"/>
      <c r="C68" s="24" t="n"/>
      <c r="D68" s="25" t="n"/>
      <c r="E68" s="26" t="n"/>
      <c r="F68" s="26" t="n"/>
      <c r="G68" s="26" t="n"/>
      <c r="H68" s="26" t="n"/>
      <c r="I68" s="26" t="n"/>
      <c r="J68" s="24" t="n"/>
      <c r="K68" s="24" t="n"/>
      <c r="L68" s="22">
        <f>IF(A68="","",IF(AND(F68="",E68=""),"",TODAY()-IF(F68="",E68,F68)))</f>
        <v/>
      </c>
      <c r="M68" s="22">
        <f>IF(OR(A68="",E68=""),"",TODAY()-E68)</f>
        <v/>
      </c>
      <c r="N68" s="22">
        <f>IF(OR(H68="",I68=""),"",I68-H68)</f>
        <v/>
      </c>
      <c r="O68" s="22">
        <f>IF(OR(F68="",G68=""),"",IF(G68-F68&gt;Settings!$B$8,"CRM activity, no buyer contact",""))</f>
        <v/>
      </c>
      <c r="P68" s="22">
        <f>IF(A68="","",IF(OR(C68="Closed won",C68="Closed lost"),"Closed",IF(L68="","Check dates",IF(L68&gt;=Settings!$B$5,"Likely dead",IF(L68&gt;=Settings!$B$4,"Dormant","Active")))))</f>
        <v/>
      </c>
      <c r="Q68" s="22">
        <f>IF(OR(P68="Dormant",P68="Likely dead"),ROUND(100*IFERROR(VLOOKUP(C68,Settings!$D$4:$E$8,2,FALSE),0.3)*MIN(1,N(D68)/Settings!$B$7)*IF(P68="Dormant",1-0.5*(L68-Settings!$B$4)/MAX(1,Settings!$B$5-Settings!$B$4),0.25),0),"")</f>
        <v/>
      </c>
      <c r="R68" s="22">
        <f>IF(P68="Dormant",IF(AND(N(D68)&gt;=Settings!$B$6,N(Q68)&gt;=40),"Re-engage now",IF(N(D68)&gt;=Settings!$B$6,"Investigate, then decide","Low value: batch or close")),IF(P68="Likely dead","Close out or recycle to nurture",IF(P68="Active","Leave: active",IF(P68="Check dates","Add dates",""))))</f>
        <v/>
      </c>
      <c r="S68" s="23">
        <f>IF(OR(R68="Re-engage now",R68="Investigate, then decide"),Q68+ROW()/1000000,"")</f>
        <v/>
      </c>
    </row>
    <row r="69">
      <c r="A69" s="24" t="n"/>
      <c r="B69" s="24" t="n"/>
      <c r="C69" s="24" t="n"/>
      <c r="D69" s="25" t="n"/>
      <c r="E69" s="26" t="n"/>
      <c r="F69" s="26" t="n"/>
      <c r="G69" s="26" t="n"/>
      <c r="H69" s="26" t="n"/>
      <c r="I69" s="26" t="n"/>
      <c r="J69" s="24" t="n"/>
      <c r="K69" s="24" t="n"/>
      <c r="L69" s="22">
        <f>IF(A69="","",IF(AND(F69="",E69=""),"",TODAY()-IF(F69="",E69,F69)))</f>
        <v/>
      </c>
      <c r="M69" s="22">
        <f>IF(OR(A69="",E69=""),"",TODAY()-E69)</f>
        <v/>
      </c>
      <c r="N69" s="22">
        <f>IF(OR(H69="",I69=""),"",I69-H69)</f>
        <v/>
      </c>
      <c r="O69" s="22">
        <f>IF(OR(F69="",G69=""),"",IF(G69-F69&gt;Settings!$B$8,"CRM activity, no buyer contact",""))</f>
        <v/>
      </c>
      <c r="P69" s="22">
        <f>IF(A69="","",IF(OR(C69="Closed won",C69="Closed lost"),"Closed",IF(L69="","Check dates",IF(L69&gt;=Settings!$B$5,"Likely dead",IF(L69&gt;=Settings!$B$4,"Dormant","Active")))))</f>
        <v/>
      </c>
      <c r="Q69" s="22">
        <f>IF(OR(P69="Dormant",P69="Likely dead"),ROUND(100*IFERROR(VLOOKUP(C69,Settings!$D$4:$E$8,2,FALSE),0.3)*MIN(1,N(D69)/Settings!$B$7)*IF(P69="Dormant",1-0.5*(L69-Settings!$B$4)/MAX(1,Settings!$B$5-Settings!$B$4),0.25),0),"")</f>
        <v/>
      </c>
      <c r="R69" s="22">
        <f>IF(P69="Dormant",IF(AND(N(D69)&gt;=Settings!$B$6,N(Q69)&gt;=40),"Re-engage now",IF(N(D69)&gt;=Settings!$B$6,"Investigate, then decide","Low value: batch or close")),IF(P69="Likely dead","Close out or recycle to nurture",IF(P69="Active","Leave: active",IF(P69="Check dates","Add dates",""))))</f>
        <v/>
      </c>
      <c r="S69" s="23">
        <f>IF(OR(R69="Re-engage now",R69="Investigate, then decide"),Q69+ROW()/1000000,"")</f>
        <v/>
      </c>
    </row>
    <row r="70">
      <c r="A70" s="24" t="n"/>
      <c r="B70" s="24" t="n"/>
      <c r="C70" s="24" t="n"/>
      <c r="D70" s="25" t="n"/>
      <c r="E70" s="26" t="n"/>
      <c r="F70" s="26" t="n"/>
      <c r="G70" s="26" t="n"/>
      <c r="H70" s="26" t="n"/>
      <c r="I70" s="26" t="n"/>
      <c r="J70" s="24" t="n"/>
      <c r="K70" s="24" t="n"/>
      <c r="L70" s="22">
        <f>IF(A70="","",IF(AND(F70="",E70=""),"",TODAY()-IF(F70="",E70,F70)))</f>
        <v/>
      </c>
      <c r="M70" s="22">
        <f>IF(OR(A70="",E70=""),"",TODAY()-E70)</f>
        <v/>
      </c>
      <c r="N70" s="22">
        <f>IF(OR(H70="",I70=""),"",I70-H70)</f>
        <v/>
      </c>
      <c r="O70" s="22">
        <f>IF(OR(F70="",G70=""),"",IF(G70-F70&gt;Settings!$B$8,"CRM activity, no buyer contact",""))</f>
        <v/>
      </c>
      <c r="P70" s="22">
        <f>IF(A70="","",IF(OR(C70="Closed won",C70="Closed lost"),"Closed",IF(L70="","Check dates",IF(L70&gt;=Settings!$B$5,"Likely dead",IF(L70&gt;=Settings!$B$4,"Dormant","Active")))))</f>
        <v/>
      </c>
      <c r="Q70" s="22">
        <f>IF(OR(P70="Dormant",P70="Likely dead"),ROUND(100*IFERROR(VLOOKUP(C70,Settings!$D$4:$E$8,2,FALSE),0.3)*MIN(1,N(D70)/Settings!$B$7)*IF(P70="Dormant",1-0.5*(L70-Settings!$B$4)/MAX(1,Settings!$B$5-Settings!$B$4),0.25),0),"")</f>
        <v/>
      </c>
      <c r="R70" s="22">
        <f>IF(P70="Dormant",IF(AND(N(D70)&gt;=Settings!$B$6,N(Q70)&gt;=40),"Re-engage now",IF(N(D70)&gt;=Settings!$B$6,"Investigate, then decide","Low value: batch or close")),IF(P70="Likely dead","Close out or recycle to nurture",IF(P70="Active","Leave: active",IF(P70="Check dates","Add dates",""))))</f>
        <v/>
      </c>
      <c r="S70" s="23">
        <f>IF(OR(R70="Re-engage now",R70="Investigate, then decide"),Q70+ROW()/1000000,"")</f>
        <v/>
      </c>
    </row>
    <row r="71">
      <c r="A71" s="24" t="n"/>
      <c r="B71" s="24" t="n"/>
      <c r="C71" s="24" t="n"/>
      <c r="D71" s="25" t="n"/>
      <c r="E71" s="26" t="n"/>
      <c r="F71" s="26" t="n"/>
      <c r="G71" s="26" t="n"/>
      <c r="H71" s="26" t="n"/>
      <c r="I71" s="26" t="n"/>
      <c r="J71" s="24" t="n"/>
      <c r="K71" s="24" t="n"/>
      <c r="L71" s="22">
        <f>IF(A71="","",IF(AND(F71="",E71=""),"",TODAY()-IF(F71="",E71,F71)))</f>
        <v/>
      </c>
      <c r="M71" s="22">
        <f>IF(OR(A71="",E71=""),"",TODAY()-E71)</f>
        <v/>
      </c>
      <c r="N71" s="22">
        <f>IF(OR(H71="",I71=""),"",I71-H71)</f>
        <v/>
      </c>
      <c r="O71" s="22">
        <f>IF(OR(F71="",G71=""),"",IF(G71-F71&gt;Settings!$B$8,"CRM activity, no buyer contact",""))</f>
        <v/>
      </c>
      <c r="P71" s="22">
        <f>IF(A71="","",IF(OR(C71="Closed won",C71="Closed lost"),"Closed",IF(L71="","Check dates",IF(L71&gt;=Settings!$B$5,"Likely dead",IF(L71&gt;=Settings!$B$4,"Dormant","Active")))))</f>
        <v/>
      </c>
      <c r="Q71" s="22">
        <f>IF(OR(P71="Dormant",P71="Likely dead"),ROUND(100*IFERROR(VLOOKUP(C71,Settings!$D$4:$E$8,2,FALSE),0.3)*MIN(1,N(D71)/Settings!$B$7)*IF(P71="Dormant",1-0.5*(L71-Settings!$B$4)/MAX(1,Settings!$B$5-Settings!$B$4),0.25),0),"")</f>
        <v/>
      </c>
      <c r="R71" s="22">
        <f>IF(P71="Dormant",IF(AND(N(D71)&gt;=Settings!$B$6,N(Q71)&gt;=40),"Re-engage now",IF(N(D71)&gt;=Settings!$B$6,"Investigate, then decide","Low value: batch or close")),IF(P71="Likely dead","Close out or recycle to nurture",IF(P71="Active","Leave: active",IF(P71="Check dates","Add dates",""))))</f>
        <v/>
      </c>
      <c r="S71" s="23">
        <f>IF(OR(R71="Re-engage now",R71="Investigate, then decide"),Q71+ROW()/1000000,"")</f>
        <v/>
      </c>
    </row>
    <row r="72">
      <c r="A72" s="24" t="n"/>
      <c r="B72" s="24" t="n"/>
      <c r="C72" s="24" t="n"/>
      <c r="D72" s="25" t="n"/>
      <c r="E72" s="26" t="n"/>
      <c r="F72" s="26" t="n"/>
      <c r="G72" s="26" t="n"/>
      <c r="H72" s="26" t="n"/>
      <c r="I72" s="26" t="n"/>
      <c r="J72" s="24" t="n"/>
      <c r="K72" s="24" t="n"/>
      <c r="L72" s="22">
        <f>IF(A72="","",IF(AND(F72="",E72=""),"",TODAY()-IF(F72="",E72,F72)))</f>
        <v/>
      </c>
      <c r="M72" s="22">
        <f>IF(OR(A72="",E72=""),"",TODAY()-E72)</f>
        <v/>
      </c>
      <c r="N72" s="22">
        <f>IF(OR(H72="",I72=""),"",I72-H72)</f>
        <v/>
      </c>
      <c r="O72" s="22">
        <f>IF(OR(F72="",G72=""),"",IF(G72-F72&gt;Settings!$B$8,"CRM activity, no buyer contact",""))</f>
        <v/>
      </c>
      <c r="P72" s="22">
        <f>IF(A72="","",IF(OR(C72="Closed won",C72="Closed lost"),"Closed",IF(L72="","Check dates",IF(L72&gt;=Settings!$B$5,"Likely dead",IF(L72&gt;=Settings!$B$4,"Dormant","Active")))))</f>
        <v/>
      </c>
      <c r="Q72" s="22">
        <f>IF(OR(P72="Dormant",P72="Likely dead"),ROUND(100*IFERROR(VLOOKUP(C72,Settings!$D$4:$E$8,2,FALSE),0.3)*MIN(1,N(D72)/Settings!$B$7)*IF(P72="Dormant",1-0.5*(L72-Settings!$B$4)/MAX(1,Settings!$B$5-Settings!$B$4),0.25),0),"")</f>
        <v/>
      </c>
      <c r="R72" s="22">
        <f>IF(P72="Dormant",IF(AND(N(D72)&gt;=Settings!$B$6,N(Q72)&gt;=40),"Re-engage now",IF(N(D72)&gt;=Settings!$B$6,"Investigate, then decide","Low value: batch or close")),IF(P72="Likely dead","Close out or recycle to nurture",IF(P72="Active","Leave: active",IF(P72="Check dates","Add dates",""))))</f>
        <v/>
      </c>
      <c r="S72" s="23">
        <f>IF(OR(R72="Re-engage now",R72="Investigate, then decide"),Q72+ROW()/1000000,"")</f>
        <v/>
      </c>
    </row>
    <row r="73">
      <c r="A73" s="24" t="n"/>
      <c r="B73" s="24" t="n"/>
      <c r="C73" s="24" t="n"/>
      <c r="D73" s="25" t="n"/>
      <c r="E73" s="26" t="n"/>
      <c r="F73" s="26" t="n"/>
      <c r="G73" s="26" t="n"/>
      <c r="H73" s="26" t="n"/>
      <c r="I73" s="26" t="n"/>
      <c r="J73" s="24" t="n"/>
      <c r="K73" s="24" t="n"/>
      <c r="L73" s="22">
        <f>IF(A73="","",IF(AND(F73="",E73=""),"",TODAY()-IF(F73="",E73,F73)))</f>
        <v/>
      </c>
      <c r="M73" s="22">
        <f>IF(OR(A73="",E73=""),"",TODAY()-E73)</f>
        <v/>
      </c>
      <c r="N73" s="22">
        <f>IF(OR(H73="",I73=""),"",I73-H73)</f>
        <v/>
      </c>
      <c r="O73" s="22">
        <f>IF(OR(F73="",G73=""),"",IF(G73-F73&gt;Settings!$B$8,"CRM activity, no buyer contact",""))</f>
        <v/>
      </c>
      <c r="P73" s="22">
        <f>IF(A73="","",IF(OR(C73="Closed won",C73="Closed lost"),"Closed",IF(L73="","Check dates",IF(L73&gt;=Settings!$B$5,"Likely dead",IF(L73&gt;=Settings!$B$4,"Dormant","Active")))))</f>
        <v/>
      </c>
      <c r="Q73" s="22">
        <f>IF(OR(P73="Dormant",P73="Likely dead"),ROUND(100*IFERROR(VLOOKUP(C73,Settings!$D$4:$E$8,2,FALSE),0.3)*MIN(1,N(D73)/Settings!$B$7)*IF(P73="Dormant",1-0.5*(L73-Settings!$B$4)/MAX(1,Settings!$B$5-Settings!$B$4),0.25),0),"")</f>
        <v/>
      </c>
      <c r="R73" s="22">
        <f>IF(P73="Dormant",IF(AND(N(D73)&gt;=Settings!$B$6,N(Q73)&gt;=40),"Re-engage now",IF(N(D73)&gt;=Settings!$B$6,"Investigate, then decide","Low value: batch or close")),IF(P73="Likely dead","Close out or recycle to nurture",IF(P73="Active","Leave: active",IF(P73="Check dates","Add dates",""))))</f>
        <v/>
      </c>
      <c r="S73" s="23">
        <f>IF(OR(R73="Re-engage now",R73="Investigate, then decide"),Q73+ROW()/1000000,"")</f>
        <v/>
      </c>
    </row>
    <row r="74">
      <c r="A74" s="24" t="n"/>
      <c r="B74" s="24" t="n"/>
      <c r="C74" s="24" t="n"/>
      <c r="D74" s="25" t="n"/>
      <c r="E74" s="26" t="n"/>
      <c r="F74" s="26" t="n"/>
      <c r="G74" s="26" t="n"/>
      <c r="H74" s="26" t="n"/>
      <c r="I74" s="26" t="n"/>
      <c r="J74" s="24" t="n"/>
      <c r="K74" s="24" t="n"/>
      <c r="L74" s="22">
        <f>IF(A74="","",IF(AND(F74="",E74=""),"",TODAY()-IF(F74="",E74,F74)))</f>
        <v/>
      </c>
      <c r="M74" s="22">
        <f>IF(OR(A74="",E74=""),"",TODAY()-E74)</f>
        <v/>
      </c>
      <c r="N74" s="22">
        <f>IF(OR(H74="",I74=""),"",I74-H74)</f>
        <v/>
      </c>
      <c r="O74" s="22">
        <f>IF(OR(F74="",G74=""),"",IF(G74-F74&gt;Settings!$B$8,"CRM activity, no buyer contact",""))</f>
        <v/>
      </c>
      <c r="P74" s="22">
        <f>IF(A74="","",IF(OR(C74="Closed won",C74="Closed lost"),"Closed",IF(L74="","Check dates",IF(L74&gt;=Settings!$B$5,"Likely dead",IF(L74&gt;=Settings!$B$4,"Dormant","Active")))))</f>
        <v/>
      </c>
      <c r="Q74" s="22">
        <f>IF(OR(P74="Dormant",P74="Likely dead"),ROUND(100*IFERROR(VLOOKUP(C74,Settings!$D$4:$E$8,2,FALSE),0.3)*MIN(1,N(D74)/Settings!$B$7)*IF(P74="Dormant",1-0.5*(L74-Settings!$B$4)/MAX(1,Settings!$B$5-Settings!$B$4),0.25),0),"")</f>
        <v/>
      </c>
      <c r="R74" s="22">
        <f>IF(P74="Dormant",IF(AND(N(D74)&gt;=Settings!$B$6,N(Q74)&gt;=40),"Re-engage now",IF(N(D74)&gt;=Settings!$B$6,"Investigate, then decide","Low value: batch or close")),IF(P74="Likely dead","Close out or recycle to nurture",IF(P74="Active","Leave: active",IF(P74="Check dates","Add dates",""))))</f>
        <v/>
      </c>
      <c r="S74" s="23">
        <f>IF(OR(R74="Re-engage now",R74="Investigate, then decide"),Q74+ROW()/1000000,"")</f>
        <v/>
      </c>
    </row>
    <row r="75">
      <c r="A75" s="24" t="n"/>
      <c r="B75" s="24" t="n"/>
      <c r="C75" s="24" t="n"/>
      <c r="D75" s="25" t="n"/>
      <c r="E75" s="26" t="n"/>
      <c r="F75" s="26" t="n"/>
      <c r="G75" s="26" t="n"/>
      <c r="H75" s="26" t="n"/>
      <c r="I75" s="26" t="n"/>
      <c r="J75" s="24" t="n"/>
      <c r="K75" s="24" t="n"/>
      <c r="L75" s="22">
        <f>IF(A75="","",IF(AND(F75="",E75=""),"",TODAY()-IF(F75="",E75,F75)))</f>
        <v/>
      </c>
      <c r="M75" s="22">
        <f>IF(OR(A75="",E75=""),"",TODAY()-E75)</f>
        <v/>
      </c>
      <c r="N75" s="22">
        <f>IF(OR(H75="",I75=""),"",I75-H75)</f>
        <v/>
      </c>
      <c r="O75" s="22">
        <f>IF(OR(F75="",G75=""),"",IF(G75-F75&gt;Settings!$B$8,"CRM activity, no buyer contact",""))</f>
        <v/>
      </c>
      <c r="P75" s="22">
        <f>IF(A75="","",IF(OR(C75="Closed won",C75="Closed lost"),"Closed",IF(L75="","Check dates",IF(L75&gt;=Settings!$B$5,"Likely dead",IF(L75&gt;=Settings!$B$4,"Dormant","Active")))))</f>
        <v/>
      </c>
      <c r="Q75" s="22">
        <f>IF(OR(P75="Dormant",P75="Likely dead"),ROUND(100*IFERROR(VLOOKUP(C75,Settings!$D$4:$E$8,2,FALSE),0.3)*MIN(1,N(D75)/Settings!$B$7)*IF(P75="Dormant",1-0.5*(L75-Settings!$B$4)/MAX(1,Settings!$B$5-Settings!$B$4),0.25),0),"")</f>
        <v/>
      </c>
      <c r="R75" s="22">
        <f>IF(P75="Dormant",IF(AND(N(D75)&gt;=Settings!$B$6,N(Q75)&gt;=40),"Re-engage now",IF(N(D75)&gt;=Settings!$B$6,"Investigate, then decide","Low value: batch or close")),IF(P75="Likely dead","Close out or recycle to nurture",IF(P75="Active","Leave: active",IF(P75="Check dates","Add dates",""))))</f>
        <v/>
      </c>
      <c r="S75" s="23">
        <f>IF(OR(R75="Re-engage now",R75="Investigate, then decide"),Q75+ROW()/1000000,"")</f>
        <v/>
      </c>
    </row>
    <row r="76">
      <c r="A76" s="24" t="n"/>
      <c r="B76" s="24" t="n"/>
      <c r="C76" s="24" t="n"/>
      <c r="D76" s="25" t="n"/>
      <c r="E76" s="26" t="n"/>
      <c r="F76" s="26" t="n"/>
      <c r="G76" s="26" t="n"/>
      <c r="H76" s="26" t="n"/>
      <c r="I76" s="26" t="n"/>
      <c r="J76" s="24" t="n"/>
      <c r="K76" s="24" t="n"/>
      <c r="L76" s="22">
        <f>IF(A76="","",IF(AND(F76="",E76=""),"",TODAY()-IF(F76="",E76,F76)))</f>
        <v/>
      </c>
      <c r="M76" s="22">
        <f>IF(OR(A76="",E76=""),"",TODAY()-E76)</f>
        <v/>
      </c>
      <c r="N76" s="22">
        <f>IF(OR(H76="",I76=""),"",I76-H76)</f>
        <v/>
      </c>
      <c r="O76" s="22">
        <f>IF(OR(F76="",G76=""),"",IF(G76-F76&gt;Settings!$B$8,"CRM activity, no buyer contact",""))</f>
        <v/>
      </c>
      <c r="P76" s="22">
        <f>IF(A76="","",IF(OR(C76="Closed won",C76="Closed lost"),"Closed",IF(L76="","Check dates",IF(L76&gt;=Settings!$B$5,"Likely dead",IF(L76&gt;=Settings!$B$4,"Dormant","Active")))))</f>
        <v/>
      </c>
      <c r="Q76" s="22">
        <f>IF(OR(P76="Dormant",P76="Likely dead"),ROUND(100*IFERROR(VLOOKUP(C76,Settings!$D$4:$E$8,2,FALSE),0.3)*MIN(1,N(D76)/Settings!$B$7)*IF(P76="Dormant",1-0.5*(L76-Settings!$B$4)/MAX(1,Settings!$B$5-Settings!$B$4),0.25),0),"")</f>
        <v/>
      </c>
      <c r="R76" s="22">
        <f>IF(P76="Dormant",IF(AND(N(D76)&gt;=Settings!$B$6,N(Q76)&gt;=40),"Re-engage now",IF(N(D76)&gt;=Settings!$B$6,"Investigate, then decide","Low value: batch or close")),IF(P76="Likely dead","Close out or recycle to nurture",IF(P76="Active","Leave: active",IF(P76="Check dates","Add dates",""))))</f>
        <v/>
      </c>
      <c r="S76" s="23">
        <f>IF(OR(R76="Re-engage now",R76="Investigate, then decide"),Q76+ROW()/1000000,"")</f>
        <v/>
      </c>
    </row>
    <row r="77">
      <c r="A77" s="24" t="n"/>
      <c r="B77" s="24" t="n"/>
      <c r="C77" s="24" t="n"/>
      <c r="D77" s="25" t="n"/>
      <c r="E77" s="26" t="n"/>
      <c r="F77" s="26" t="n"/>
      <c r="G77" s="26" t="n"/>
      <c r="H77" s="26" t="n"/>
      <c r="I77" s="26" t="n"/>
      <c r="J77" s="24" t="n"/>
      <c r="K77" s="24" t="n"/>
      <c r="L77" s="22">
        <f>IF(A77="","",IF(AND(F77="",E77=""),"",TODAY()-IF(F77="",E77,F77)))</f>
        <v/>
      </c>
      <c r="M77" s="22">
        <f>IF(OR(A77="",E77=""),"",TODAY()-E77)</f>
        <v/>
      </c>
      <c r="N77" s="22">
        <f>IF(OR(H77="",I77=""),"",I77-H77)</f>
        <v/>
      </c>
      <c r="O77" s="22">
        <f>IF(OR(F77="",G77=""),"",IF(G77-F77&gt;Settings!$B$8,"CRM activity, no buyer contact",""))</f>
        <v/>
      </c>
      <c r="P77" s="22">
        <f>IF(A77="","",IF(OR(C77="Closed won",C77="Closed lost"),"Closed",IF(L77="","Check dates",IF(L77&gt;=Settings!$B$5,"Likely dead",IF(L77&gt;=Settings!$B$4,"Dormant","Active")))))</f>
        <v/>
      </c>
      <c r="Q77" s="22">
        <f>IF(OR(P77="Dormant",P77="Likely dead"),ROUND(100*IFERROR(VLOOKUP(C77,Settings!$D$4:$E$8,2,FALSE),0.3)*MIN(1,N(D77)/Settings!$B$7)*IF(P77="Dormant",1-0.5*(L77-Settings!$B$4)/MAX(1,Settings!$B$5-Settings!$B$4),0.25),0),"")</f>
        <v/>
      </c>
      <c r="R77" s="22">
        <f>IF(P77="Dormant",IF(AND(N(D77)&gt;=Settings!$B$6,N(Q77)&gt;=40),"Re-engage now",IF(N(D77)&gt;=Settings!$B$6,"Investigate, then decide","Low value: batch or close")),IF(P77="Likely dead","Close out or recycle to nurture",IF(P77="Active","Leave: active",IF(P77="Check dates","Add dates",""))))</f>
        <v/>
      </c>
      <c r="S77" s="23">
        <f>IF(OR(R77="Re-engage now",R77="Investigate, then decide"),Q77+ROW()/1000000,"")</f>
        <v/>
      </c>
    </row>
    <row r="78">
      <c r="A78" s="24" t="n"/>
      <c r="B78" s="24" t="n"/>
      <c r="C78" s="24" t="n"/>
      <c r="D78" s="25" t="n"/>
      <c r="E78" s="26" t="n"/>
      <c r="F78" s="26" t="n"/>
      <c r="G78" s="26" t="n"/>
      <c r="H78" s="26" t="n"/>
      <c r="I78" s="26" t="n"/>
      <c r="J78" s="24" t="n"/>
      <c r="K78" s="24" t="n"/>
      <c r="L78" s="22">
        <f>IF(A78="","",IF(AND(F78="",E78=""),"",TODAY()-IF(F78="",E78,F78)))</f>
        <v/>
      </c>
      <c r="M78" s="22">
        <f>IF(OR(A78="",E78=""),"",TODAY()-E78)</f>
        <v/>
      </c>
      <c r="N78" s="22">
        <f>IF(OR(H78="",I78=""),"",I78-H78)</f>
        <v/>
      </c>
      <c r="O78" s="22">
        <f>IF(OR(F78="",G78=""),"",IF(G78-F78&gt;Settings!$B$8,"CRM activity, no buyer contact",""))</f>
        <v/>
      </c>
      <c r="P78" s="22">
        <f>IF(A78="","",IF(OR(C78="Closed won",C78="Closed lost"),"Closed",IF(L78="","Check dates",IF(L78&gt;=Settings!$B$5,"Likely dead",IF(L78&gt;=Settings!$B$4,"Dormant","Active")))))</f>
        <v/>
      </c>
      <c r="Q78" s="22">
        <f>IF(OR(P78="Dormant",P78="Likely dead"),ROUND(100*IFERROR(VLOOKUP(C78,Settings!$D$4:$E$8,2,FALSE),0.3)*MIN(1,N(D78)/Settings!$B$7)*IF(P78="Dormant",1-0.5*(L78-Settings!$B$4)/MAX(1,Settings!$B$5-Settings!$B$4),0.25),0),"")</f>
        <v/>
      </c>
      <c r="R78" s="22">
        <f>IF(P78="Dormant",IF(AND(N(D78)&gt;=Settings!$B$6,N(Q78)&gt;=40),"Re-engage now",IF(N(D78)&gt;=Settings!$B$6,"Investigate, then decide","Low value: batch or close")),IF(P78="Likely dead","Close out or recycle to nurture",IF(P78="Active","Leave: active",IF(P78="Check dates","Add dates",""))))</f>
        <v/>
      </c>
      <c r="S78" s="23">
        <f>IF(OR(R78="Re-engage now",R78="Investigate, then decide"),Q78+ROW()/1000000,"")</f>
        <v/>
      </c>
    </row>
    <row r="79">
      <c r="A79" s="24" t="n"/>
      <c r="B79" s="24" t="n"/>
      <c r="C79" s="24" t="n"/>
      <c r="D79" s="25" t="n"/>
      <c r="E79" s="26" t="n"/>
      <c r="F79" s="26" t="n"/>
      <c r="G79" s="26" t="n"/>
      <c r="H79" s="26" t="n"/>
      <c r="I79" s="26" t="n"/>
      <c r="J79" s="24" t="n"/>
      <c r="K79" s="24" t="n"/>
      <c r="L79" s="22">
        <f>IF(A79="","",IF(AND(F79="",E79=""),"",TODAY()-IF(F79="",E79,F79)))</f>
        <v/>
      </c>
      <c r="M79" s="22">
        <f>IF(OR(A79="",E79=""),"",TODAY()-E79)</f>
        <v/>
      </c>
      <c r="N79" s="22">
        <f>IF(OR(H79="",I79=""),"",I79-H79)</f>
        <v/>
      </c>
      <c r="O79" s="22">
        <f>IF(OR(F79="",G79=""),"",IF(G79-F79&gt;Settings!$B$8,"CRM activity, no buyer contact",""))</f>
        <v/>
      </c>
      <c r="P79" s="22">
        <f>IF(A79="","",IF(OR(C79="Closed won",C79="Closed lost"),"Closed",IF(L79="","Check dates",IF(L79&gt;=Settings!$B$5,"Likely dead",IF(L79&gt;=Settings!$B$4,"Dormant","Active")))))</f>
        <v/>
      </c>
      <c r="Q79" s="22">
        <f>IF(OR(P79="Dormant",P79="Likely dead"),ROUND(100*IFERROR(VLOOKUP(C79,Settings!$D$4:$E$8,2,FALSE),0.3)*MIN(1,N(D79)/Settings!$B$7)*IF(P79="Dormant",1-0.5*(L79-Settings!$B$4)/MAX(1,Settings!$B$5-Settings!$B$4),0.25),0),"")</f>
        <v/>
      </c>
      <c r="R79" s="22">
        <f>IF(P79="Dormant",IF(AND(N(D79)&gt;=Settings!$B$6,N(Q79)&gt;=40),"Re-engage now",IF(N(D79)&gt;=Settings!$B$6,"Investigate, then decide","Low value: batch or close")),IF(P79="Likely dead","Close out or recycle to nurture",IF(P79="Active","Leave: active",IF(P79="Check dates","Add dates",""))))</f>
        <v/>
      </c>
      <c r="S79" s="23">
        <f>IF(OR(R79="Re-engage now",R79="Investigate, then decide"),Q79+ROW()/1000000,"")</f>
        <v/>
      </c>
    </row>
    <row r="80">
      <c r="A80" s="24" t="n"/>
      <c r="B80" s="24" t="n"/>
      <c r="C80" s="24" t="n"/>
      <c r="D80" s="25" t="n"/>
      <c r="E80" s="26" t="n"/>
      <c r="F80" s="26" t="n"/>
      <c r="G80" s="26" t="n"/>
      <c r="H80" s="26" t="n"/>
      <c r="I80" s="26" t="n"/>
      <c r="J80" s="24" t="n"/>
      <c r="K80" s="24" t="n"/>
      <c r="L80" s="22">
        <f>IF(A80="","",IF(AND(F80="",E80=""),"",TODAY()-IF(F80="",E80,F80)))</f>
        <v/>
      </c>
      <c r="M80" s="22">
        <f>IF(OR(A80="",E80=""),"",TODAY()-E80)</f>
        <v/>
      </c>
      <c r="N80" s="22">
        <f>IF(OR(H80="",I80=""),"",I80-H80)</f>
        <v/>
      </c>
      <c r="O80" s="22">
        <f>IF(OR(F80="",G80=""),"",IF(G80-F80&gt;Settings!$B$8,"CRM activity, no buyer contact",""))</f>
        <v/>
      </c>
      <c r="P80" s="22">
        <f>IF(A80="","",IF(OR(C80="Closed won",C80="Closed lost"),"Closed",IF(L80="","Check dates",IF(L80&gt;=Settings!$B$5,"Likely dead",IF(L80&gt;=Settings!$B$4,"Dormant","Active")))))</f>
        <v/>
      </c>
      <c r="Q80" s="22">
        <f>IF(OR(P80="Dormant",P80="Likely dead"),ROUND(100*IFERROR(VLOOKUP(C80,Settings!$D$4:$E$8,2,FALSE),0.3)*MIN(1,N(D80)/Settings!$B$7)*IF(P80="Dormant",1-0.5*(L80-Settings!$B$4)/MAX(1,Settings!$B$5-Settings!$B$4),0.25),0),"")</f>
        <v/>
      </c>
      <c r="R80" s="22">
        <f>IF(P80="Dormant",IF(AND(N(D80)&gt;=Settings!$B$6,N(Q80)&gt;=40),"Re-engage now",IF(N(D80)&gt;=Settings!$B$6,"Investigate, then decide","Low value: batch or close")),IF(P80="Likely dead","Close out or recycle to nurture",IF(P80="Active","Leave: active",IF(P80="Check dates","Add dates",""))))</f>
        <v/>
      </c>
      <c r="S80" s="23">
        <f>IF(OR(R80="Re-engage now",R80="Investigate, then decide"),Q80+ROW()/1000000,"")</f>
        <v/>
      </c>
    </row>
    <row r="81">
      <c r="A81" s="24" t="n"/>
      <c r="B81" s="24" t="n"/>
      <c r="C81" s="24" t="n"/>
      <c r="D81" s="25" t="n"/>
      <c r="E81" s="26" t="n"/>
      <c r="F81" s="26" t="n"/>
      <c r="G81" s="26" t="n"/>
      <c r="H81" s="26" t="n"/>
      <c r="I81" s="26" t="n"/>
      <c r="J81" s="24" t="n"/>
      <c r="K81" s="24" t="n"/>
      <c r="L81" s="22">
        <f>IF(A81="","",IF(AND(F81="",E81=""),"",TODAY()-IF(F81="",E81,F81)))</f>
        <v/>
      </c>
      <c r="M81" s="22">
        <f>IF(OR(A81="",E81=""),"",TODAY()-E81)</f>
        <v/>
      </c>
      <c r="N81" s="22">
        <f>IF(OR(H81="",I81=""),"",I81-H81)</f>
        <v/>
      </c>
      <c r="O81" s="22">
        <f>IF(OR(F81="",G81=""),"",IF(G81-F81&gt;Settings!$B$8,"CRM activity, no buyer contact",""))</f>
        <v/>
      </c>
      <c r="P81" s="22">
        <f>IF(A81="","",IF(OR(C81="Closed won",C81="Closed lost"),"Closed",IF(L81="","Check dates",IF(L81&gt;=Settings!$B$5,"Likely dead",IF(L81&gt;=Settings!$B$4,"Dormant","Active")))))</f>
        <v/>
      </c>
      <c r="Q81" s="22">
        <f>IF(OR(P81="Dormant",P81="Likely dead"),ROUND(100*IFERROR(VLOOKUP(C81,Settings!$D$4:$E$8,2,FALSE),0.3)*MIN(1,N(D81)/Settings!$B$7)*IF(P81="Dormant",1-0.5*(L81-Settings!$B$4)/MAX(1,Settings!$B$5-Settings!$B$4),0.25),0),"")</f>
        <v/>
      </c>
      <c r="R81" s="22">
        <f>IF(P81="Dormant",IF(AND(N(D81)&gt;=Settings!$B$6,N(Q81)&gt;=40),"Re-engage now",IF(N(D81)&gt;=Settings!$B$6,"Investigate, then decide","Low value: batch or close")),IF(P81="Likely dead","Close out or recycle to nurture",IF(P81="Active","Leave: active",IF(P81="Check dates","Add dates",""))))</f>
        <v/>
      </c>
      <c r="S81" s="23">
        <f>IF(OR(R81="Re-engage now",R81="Investigate, then decide"),Q81+ROW()/1000000,"")</f>
        <v/>
      </c>
    </row>
    <row r="82">
      <c r="A82" s="24" t="n"/>
      <c r="B82" s="24" t="n"/>
      <c r="C82" s="24" t="n"/>
      <c r="D82" s="25" t="n"/>
      <c r="E82" s="26" t="n"/>
      <c r="F82" s="26" t="n"/>
      <c r="G82" s="26" t="n"/>
      <c r="H82" s="26" t="n"/>
      <c r="I82" s="26" t="n"/>
      <c r="J82" s="24" t="n"/>
      <c r="K82" s="24" t="n"/>
      <c r="L82" s="22">
        <f>IF(A82="","",IF(AND(F82="",E82=""),"",TODAY()-IF(F82="",E82,F82)))</f>
        <v/>
      </c>
      <c r="M82" s="22">
        <f>IF(OR(A82="",E82=""),"",TODAY()-E82)</f>
        <v/>
      </c>
      <c r="N82" s="22">
        <f>IF(OR(H82="",I82=""),"",I82-H82)</f>
        <v/>
      </c>
      <c r="O82" s="22">
        <f>IF(OR(F82="",G82=""),"",IF(G82-F82&gt;Settings!$B$8,"CRM activity, no buyer contact",""))</f>
        <v/>
      </c>
      <c r="P82" s="22">
        <f>IF(A82="","",IF(OR(C82="Closed won",C82="Closed lost"),"Closed",IF(L82="","Check dates",IF(L82&gt;=Settings!$B$5,"Likely dead",IF(L82&gt;=Settings!$B$4,"Dormant","Active")))))</f>
        <v/>
      </c>
      <c r="Q82" s="22">
        <f>IF(OR(P82="Dormant",P82="Likely dead"),ROUND(100*IFERROR(VLOOKUP(C82,Settings!$D$4:$E$8,2,FALSE),0.3)*MIN(1,N(D82)/Settings!$B$7)*IF(P82="Dormant",1-0.5*(L82-Settings!$B$4)/MAX(1,Settings!$B$5-Settings!$B$4),0.25),0),"")</f>
        <v/>
      </c>
      <c r="R82" s="22">
        <f>IF(P82="Dormant",IF(AND(N(D82)&gt;=Settings!$B$6,N(Q82)&gt;=40),"Re-engage now",IF(N(D82)&gt;=Settings!$B$6,"Investigate, then decide","Low value: batch or close")),IF(P82="Likely dead","Close out or recycle to nurture",IF(P82="Active","Leave: active",IF(P82="Check dates","Add dates",""))))</f>
        <v/>
      </c>
      <c r="S82" s="23">
        <f>IF(OR(R82="Re-engage now",R82="Investigate, then decide"),Q82+ROW()/1000000,"")</f>
        <v/>
      </c>
    </row>
    <row r="83">
      <c r="A83" s="24" t="n"/>
      <c r="B83" s="24" t="n"/>
      <c r="C83" s="24" t="n"/>
      <c r="D83" s="25" t="n"/>
      <c r="E83" s="26" t="n"/>
      <c r="F83" s="26" t="n"/>
      <c r="G83" s="26" t="n"/>
      <c r="H83" s="26" t="n"/>
      <c r="I83" s="26" t="n"/>
      <c r="J83" s="24" t="n"/>
      <c r="K83" s="24" t="n"/>
      <c r="L83" s="22">
        <f>IF(A83="","",IF(AND(F83="",E83=""),"",TODAY()-IF(F83="",E83,F83)))</f>
        <v/>
      </c>
      <c r="M83" s="22">
        <f>IF(OR(A83="",E83=""),"",TODAY()-E83)</f>
        <v/>
      </c>
      <c r="N83" s="22">
        <f>IF(OR(H83="",I83=""),"",I83-H83)</f>
        <v/>
      </c>
      <c r="O83" s="22">
        <f>IF(OR(F83="",G83=""),"",IF(G83-F83&gt;Settings!$B$8,"CRM activity, no buyer contact",""))</f>
        <v/>
      </c>
      <c r="P83" s="22">
        <f>IF(A83="","",IF(OR(C83="Closed won",C83="Closed lost"),"Closed",IF(L83="","Check dates",IF(L83&gt;=Settings!$B$5,"Likely dead",IF(L83&gt;=Settings!$B$4,"Dormant","Active")))))</f>
        <v/>
      </c>
      <c r="Q83" s="22">
        <f>IF(OR(P83="Dormant",P83="Likely dead"),ROUND(100*IFERROR(VLOOKUP(C83,Settings!$D$4:$E$8,2,FALSE),0.3)*MIN(1,N(D83)/Settings!$B$7)*IF(P83="Dormant",1-0.5*(L83-Settings!$B$4)/MAX(1,Settings!$B$5-Settings!$B$4),0.25),0),"")</f>
        <v/>
      </c>
      <c r="R83" s="22">
        <f>IF(P83="Dormant",IF(AND(N(D83)&gt;=Settings!$B$6,N(Q83)&gt;=40),"Re-engage now",IF(N(D83)&gt;=Settings!$B$6,"Investigate, then decide","Low value: batch or close")),IF(P83="Likely dead","Close out or recycle to nurture",IF(P83="Active","Leave: active",IF(P83="Check dates","Add dates",""))))</f>
        <v/>
      </c>
      <c r="S83" s="23">
        <f>IF(OR(R83="Re-engage now",R83="Investigate, then decide"),Q83+ROW()/1000000,"")</f>
        <v/>
      </c>
    </row>
    <row r="84">
      <c r="A84" s="24" t="n"/>
      <c r="B84" s="24" t="n"/>
      <c r="C84" s="24" t="n"/>
      <c r="D84" s="25" t="n"/>
      <c r="E84" s="26" t="n"/>
      <c r="F84" s="26" t="n"/>
      <c r="G84" s="26" t="n"/>
      <c r="H84" s="26" t="n"/>
      <c r="I84" s="26" t="n"/>
      <c r="J84" s="24" t="n"/>
      <c r="K84" s="24" t="n"/>
      <c r="L84" s="22">
        <f>IF(A84="","",IF(AND(F84="",E84=""),"",TODAY()-IF(F84="",E84,F84)))</f>
        <v/>
      </c>
      <c r="M84" s="22">
        <f>IF(OR(A84="",E84=""),"",TODAY()-E84)</f>
        <v/>
      </c>
      <c r="N84" s="22">
        <f>IF(OR(H84="",I84=""),"",I84-H84)</f>
        <v/>
      </c>
      <c r="O84" s="22">
        <f>IF(OR(F84="",G84=""),"",IF(G84-F84&gt;Settings!$B$8,"CRM activity, no buyer contact",""))</f>
        <v/>
      </c>
      <c r="P84" s="22">
        <f>IF(A84="","",IF(OR(C84="Closed won",C84="Closed lost"),"Closed",IF(L84="","Check dates",IF(L84&gt;=Settings!$B$5,"Likely dead",IF(L84&gt;=Settings!$B$4,"Dormant","Active")))))</f>
        <v/>
      </c>
      <c r="Q84" s="22">
        <f>IF(OR(P84="Dormant",P84="Likely dead"),ROUND(100*IFERROR(VLOOKUP(C84,Settings!$D$4:$E$8,2,FALSE),0.3)*MIN(1,N(D84)/Settings!$B$7)*IF(P84="Dormant",1-0.5*(L84-Settings!$B$4)/MAX(1,Settings!$B$5-Settings!$B$4),0.25),0),"")</f>
        <v/>
      </c>
      <c r="R84" s="22">
        <f>IF(P84="Dormant",IF(AND(N(D84)&gt;=Settings!$B$6,N(Q84)&gt;=40),"Re-engage now",IF(N(D84)&gt;=Settings!$B$6,"Investigate, then decide","Low value: batch or close")),IF(P84="Likely dead","Close out or recycle to nurture",IF(P84="Active","Leave: active",IF(P84="Check dates","Add dates",""))))</f>
        <v/>
      </c>
      <c r="S84" s="23">
        <f>IF(OR(R84="Re-engage now",R84="Investigate, then decide"),Q84+ROW()/1000000,"")</f>
        <v/>
      </c>
    </row>
    <row r="85">
      <c r="A85" s="24" t="n"/>
      <c r="B85" s="24" t="n"/>
      <c r="C85" s="24" t="n"/>
      <c r="D85" s="25" t="n"/>
      <c r="E85" s="26" t="n"/>
      <c r="F85" s="26" t="n"/>
      <c r="G85" s="26" t="n"/>
      <c r="H85" s="26" t="n"/>
      <c r="I85" s="26" t="n"/>
      <c r="J85" s="24" t="n"/>
      <c r="K85" s="24" t="n"/>
      <c r="L85" s="22">
        <f>IF(A85="","",IF(AND(F85="",E85=""),"",TODAY()-IF(F85="",E85,F85)))</f>
        <v/>
      </c>
      <c r="M85" s="22">
        <f>IF(OR(A85="",E85=""),"",TODAY()-E85)</f>
        <v/>
      </c>
      <c r="N85" s="22">
        <f>IF(OR(H85="",I85=""),"",I85-H85)</f>
        <v/>
      </c>
      <c r="O85" s="22">
        <f>IF(OR(F85="",G85=""),"",IF(G85-F85&gt;Settings!$B$8,"CRM activity, no buyer contact",""))</f>
        <v/>
      </c>
      <c r="P85" s="22">
        <f>IF(A85="","",IF(OR(C85="Closed won",C85="Closed lost"),"Closed",IF(L85="","Check dates",IF(L85&gt;=Settings!$B$5,"Likely dead",IF(L85&gt;=Settings!$B$4,"Dormant","Active")))))</f>
        <v/>
      </c>
      <c r="Q85" s="22">
        <f>IF(OR(P85="Dormant",P85="Likely dead"),ROUND(100*IFERROR(VLOOKUP(C85,Settings!$D$4:$E$8,2,FALSE),0.3)*MIN(1,N(D85)/Settings!$B$7)*IF(P85="Dormant",1-0.5*(L85-Settings!$B$4)/MAX(1,Settings!$B$5-Settings!$B$4),0.25),0),"")</f>
        <v/>
      </c>
      <c r="R85" s="22">
        <f>IF(P85="Dormant",IF(AND(N(D85)&gt;=Settings!$B$6,N(Q85)&gt;=40),"Re-engage now",IF(N(D85)&gt;=Settings!$B$6,"Investigate, then decide","Low value: batch or close")),IF(P85="Likely dead","Close out or recycle to nurture",IF(P85="Active","Leave: active",IF(P85="Check dates","Add dates",""))))</f>
        <v/>
      </c>
      <c r="S85" s="23">
        <f>IF(OR(R85="Re-engage now",R85="Investigate, then decide"),Q85+ROW()/1000000,"")</f>
        <v/>
      </c>
    </row>
    <row r="86">
      <c r="A86" s="24" t="n"/>
      <c r="B86" s="24" t="n"/>
      <c r="C86" s="24" t="n"/>
      <c r="D86" s="25" t="n"/>
      <c r="E86" s="26" t="n"/>
      <c r="F86" s="26" t="n"/>
      <c r="G86" s="26" t="n"/>
      <c r="H86" s="26" t="n"/>
      <c r="I86" s="26" t="n"/>
      <c r="J86" s="24" t="n"/>
      <c r="K86" s="24" t="n"/>
      <c r="L86" s="22">
        <f>IF(A86="","",IF(AND(F86="",E86=""),"",TODAY()-IF(F86="",E86,F86)))</f>
        <v/>
      </c>
      <c r="M86" s="22">
        <f>IF(OR(A86="",E86=""),"",TODAY()-E86)</f>
        <v/>
      </c>
      <c r="N86" s="22">
        <f>IF(OR(H86="",I86=""),"",I86-H86)</f>
        <v/>
      </c>
      <c r="O86" s="22">
        <f>IF(OR(F86="",G86=""),"",IF(G86-F86&gt;Settings!$B$8,"CRM activity, no buyer contact",""))</f>
        <v/>
      </c>
      <c r="P86" s="22">
        <f>IF(A86="","",IF(OR(C86="Closed won",C86="Closed lost"),"Closed",IF(L86="","Check dates",IF(L86&gt;=Settings!$B$5,"Likely dead",IF(L86&gt;=Settings!$B$4,"Dormant","Active")))))</f>
        <v/>
      </c>
      <c r="Q86" s="22">
        <f>IF(OR(P86="Dormant",P86="Likely dead"),ROUND(100*IFERROR(VLOOKUP(C86,Settings!$D$4:$E$8,2,FALSE),0.3)*MIN(1,N(D86)/Settings!$B$7)*IF(P86="Dormant",1-0.5*(L86-Settings!$B$4)/MAX(1,Settings!$B$5-Settings!$B$4),0.25),0),"")</f>
        <v/>
      </c>
      <c r="R86" s="22">
        <f>IF(P86="Dormant",IF(AND(N(D86)&gt;=Settings!$B$6,N(Q86)&gt;=40),"Re-engage now",IF(N(D86)&gt;=Settings!$B$6,"Investigate, then decide","Low value: batch or close")),IF(P86="Likely dead","Close out or recycle to nurture",IF(P86="Active","Leave: active",IF(P86="Check dates","Add dates",""))))</f>
        <v/>
      </c>
      <c r="S86" s="23">
        <f>IF(OR(R86="Re-engage now",R86="Investigate, then decide"),Q86+ROW()/1000000,"")</f>
        <v/>
      </c>
    </row>
    <row r="87">
      <c r="A87" s="24" t="n"/>
      <c r="B87" s="24" t="n"/>
      <c r="C87" s="24" t="n"/>
      <c r="D87" s="25" t="n"/>
      <c r="E87" s="26" t="n"/>
      <c r="F87" s="26" t="n"/>
      <c r="G87" s="26" t="n"/>
      <c r="H87" s="26" t="n"/>
      <c r="I87" s="26" t="n"/>
      <c r="J87" s="24" t="n"/>
      <c r="K87" s="24" t="n"/>
      <c r="L87" s="22">
        <f>IF(A87="","",IF(AND(F87="",E87=""),"",TODAY()-IF(F87="",E87,F87)))</f>
        <v/>
      </c>
      <c r="M87" s="22">
        <f>IF(OR(A87="",E87=""),"",TODAY()-E87)</f>
        <v/>
      </c>
      <c r="N87" s="22">
        <f>IF(OR(H87="",I87=""),"",I87-H87)</f>
        <v/>
      </c>
      <c r="O87" s="22">
        <f>IF(OR(F87="",G87=""),"",IF(G87-F87&gt;Settings!$B$8,"CRM activity, no buyer contact",""))</f>
        <v/>
      </c>
      <c r="P87" s="22">
        <f>IF(A87="","",IF(OR(C87="Closed won",C87="Closed lost"),"Closed",IF(L87="","Check dates",IF(L87&gt;=Settings!$B$5,"Likely dead",IF(L87&gt;=Settings!$B$4,"Dormant","Active")))))</f>
        <v/>
      </c>
      <c r="Q87" s="22">
        <f>IF(OR(P87="Dormant",P87="Likely dead"),ROUND(100*IFERROR(VLOOKUP(C87,Settings!$D$4:$E$8,2,FALSE),0.3)*MIN(1,N(D87)/Settings!$B$7)*IF(P87="Dormant",1-0.5*(L87-Settings!$B$4)/MAX(1,Settings!$B$5-Settings!$B$4),0.25),0),"")</f>
        <v/>
      </c>
      <c r="R87" s="22">
        <f>IF(P87="Dormant",IF(AND(N(D87)&gt;=Settings!$B$6,N(Q87)&gt;=40),"Re-engage now",IF(N(D87)&gt;=Settings!$B$6,"Investigate, then decide","Low value: batch or close")),IF(P87="Likely dead","Close out or recycle to nurture",IF(P87="Active","Leave: active",IF(P87="Check dates","Add dates",""))))</f>
        <v/>
      </c>
      <c r="S87" s="23">
        <f>IF(OR(R87="Re-engage now",R87="Investigate, then decide"),Q87+ROW()/1000000,"")</f>
        <v/>
      </c>
    </row>
    <row r="88">
      <c r="A88" s="24" t="n"/>
      <c r="B88" s="24" t="n"/>
      <c r="C88" s="24" t="n"/>
      <c r="D88" s="25" t="n"/>
      <c r="E88" s="26" t="n"/>
      <c r="F88" s="26" t="n"/>
      <c r="G88" s="26" t="n"/>
      <c r="H88" s="26" t="n"/>
      <c r="I88" s="26" t="n"/>
      <c r="J88" s="24" t="n"/>
      <c r="K88" s="24" t="n"/>
      <c r="L88" s="22">
        <f>IF(A88="","",IF(AND(F88="",E88=""),"",TODAY()-IF(F88="",E88,F88)))</f>
        <v/>
      </c>
      <c r="M88" s="22">
        <f>IF(OR(A88="",E88=""),"",TODAY()-E88)</f>
        <v/>
      </c>
      <c r="N88" s="22">
        <f>IF(OR(H88="",I88=""),"",I88-H88)</f>
        <v/>
      </c>
      <c r="O88" s="22">
        <f>IF(OR(F88="",G88=""),"",IF(G88-F88&gt;Settings!$B$8,"CRM activity, no buyer contact",""))</f>
        <v/>
      </c>
      <c r="P88" s="22">
        <f>IF(A88="","",IF(OR(C88="Closed won",C88="Closed lost"),"Closed",IF(L88="","Check dates",IF(L88&gt;=Settings!$B$5,"Likely dead",IF(L88&gt;=Settings!$B$4,"Dormant","Active")))))</f>
        <v/>
      </c>
      <c r="Q88" s="22">
        <f>IF(OR(P88="Dormant",P88="Likely dead"),ROUND(100*IFERROR(VLOOKUP(C88,Settings!$D$4:$E$8,2,FALSE),0.3)*MIN(1,N(D88)/Settings!$B$7)*IF(P88="Dormant",1-0.5*(L88-Settings!$B$4)/MAX(1,Settings!$B$5-Settings!$B$4),0.25),0),"")</f>
        <v/>
      </c>
      <c r="R88" s="22">
        <f>IF(P88="Dormant",IF(AND(N(D88)&gt;=Settings!$B$6,N(Q88)&gt;=40),"Re-engage now",IF(N(D88)&gt;=Settings!$B$6,"Investigate, then decide","Low value: batch or close")),IF(P88="Likely dead","Close out or recycle to nurture",IF(P88="Active","Leave: active",IF(P88="Check dates","Add dates",""))))</f>
        <v/>
      </c>
      <c r="S88" s="23">
        <f>IF(OR(R88="Re-engage now",R88="Investigate, then decide"),Q88+ROW()/1000000,"")</f>
        <v/>
      </c>
    </row>
    <row r="89">
      <c r="A89" s="24" t="n"/>
      <c r="B89" s="24" t="n"/>
      <c r="C89" s="24" t="n"/>
      <c r="D89" s="25" t="n"/>
      <c r="E89" s="26" t="n"/>
      <c r="F89" s="26" t="n"/>
      <c r="G89" s="26" t="n"/>
      <c r="H89" s="26" t="n"/>
      <c r="I89" s="26" t="n"/>
      <c r="J89" s="24" t="n"/>
      <c r="K89" s="24" t="n"/>
      <c r="L89" s="22">
        <f>IF(A89="","",IF(AND(F89="",E89=""),"",TODAY()-IF(F89="",E89,F89)))</f>
        <v/>
      </c>
      <c r="M89" s="22">
        <f>IF(OR(A89="",E89=""),"",TODAY()-E89)</f>
        <v/>
      </c>
      <c r="N89" s="22">
        <f>IF(OR(H89="",I89=""),"",I89-H89)</f>
        <v/>
      </c>
      <c r="O89" s="22">
        <f>IF(OR(F89="",G89=""),"",IF(G89-F89&gt;Settings!$B$8,"CRM activity, no buyer contact",""))</f>
        <v/>
      </c>
      <c r="P89" s="22">
        <f>IF(A89="","",IF(OR(C89="Closed won",C89="Closed lost"),"Closed",IF(L89="","Check dates",IF(L89&gt;=Settings!$B$5,"Likely dead",IF(L89&gt;=Settings!$B$4,"Dormant","Active")))))</f>
        <v/>
      </c>
      <c r="Q89" s="22">
        <f>IF(OR(P89="Dormant",P89="Likely dead"),ROUND(100*IFERROR(VLOOKUP(C89,Settings!$D$4:$E$8,2,FALSE),0.3)*MIN(1,N(D89)/Settings!$B$7)*IF(P89="Dormant",1-0.5*(L89-Settings!$B$4)/MAX(1,Settings!$B$5-Settings!$B$4),0.25),0),"")</f>
        <v/>
      </c>
      <c r="R89" s="22">
        <f>IF(P89="Dormant",IF(AND(N(D89)&gt;=Settings!$B$6,N(Q89)&gt;=40),"Re-engage now",IF(N(D89)&gt;=Settings!$B$6,"Investigate, then decide","Low value: batch or close")),IF(P89="Likely dead","Close out or recycle to nurture",IF(P89="Active","Leave: active",IF(P89="Check dates","Add dates",""))))</f>
        <v/>
      </c>
      <c r="S89" s="23">
        <f>IF(OR(R89="Re-engage now",R89="Investigate, then decide"),Q89+ROW()/1000000,"")</f>
        <v/>
      </c>
    </row>
    <row r="90">
      <c r="A90" s="24" t="n"/>
      <c r="B90" s="24" t="n"/>
      <c r="C90" s="24" t="n"/>
      <c r="D90" s="25" t="n"/>
      <c r="E90" s="26" t="n"/>
      <c r="F90" s="26" t="n"/>
      <c r="G90" s="26" t="n"/>
      <c r="H90" s="26" t="n"/>
      <c r="I90" s="26" t="n"/>
      <c r="J90" s="24" t="n"/>
      <c r="K90" s="24" t="n"/>
      <c r="L90" s="22">
        <f>IF(A90="","",IF(AND(F90="",E90=""),"",TODAY()-IF(F90="",E90,F90)))</f>
        <v/>
      </c>
      <c r="M90" s="22">
        <f>IF(OR(A90="",E90=""),"",TODAY()-E90)</f>
        <v/>
      </c>
      <c r="N90" s="22">
        <f>IF(OR(H90="",I90=""),"",I90-H90)</f>
        <v/>
      </c>
      <c r="O90" s="22">
        <f>IF(OR(F90="",G90=""),"",IF(G90-F90&gt;Settings!$B$8,"CRM activity, no buyer contact",""))</f>
        <v/>
      </c>
      <c r="P90" s="22">
        <f>IF(A90="","",IF(OR(C90="Closed won",C90="Closed lost"),"Closed",IF(L90="","Check dates",IF(L90&gt;=Settings!$B$5,"Likely dead",IF(L90&gt;=Settings!$B$4,"Dormant","Active")))))</f>
        <v/>
      </c>
      <c r="Q90" s="22">
        <f>IF(OR(P90="Dormant",P90="Likely dead"),ROUND(100*IFERROR(VLOOKUP(C90,Settings!$D$4:$E$8,2,FALSE),0.3)*MIN(1,N(D90)/Settings!$B$7)*IF(P90="Dormant",1-0.5*(L90-Settings!$B$4)/MAX(1,Settings!$B$5-Settings!$B$4),0.25),0),"")</f>
        <v/>
      </c>
      <c r="R90" s="22">
        <f>IF(P90="Dormant",IF(AND(N(D90)&gt;=Settings!$B$6,N(Q90)&gt;=40),"Re-engage now",IF(N(D90)&gt;=Settings!$B$6,"Investigate, then decide","Low value: batch or close")),IF(P90="Likely dead","Close out or recycle to nurture",IF(P90="Active","Leave: active",IF(P90="Check dates","Add dates",""))))</f>
        <v/>
      </c>
      <c r="S90" s="23">
        <f>IF(OR(R90="Re-engage now",R90="Investigate, then decide"),Q90+ROW()/1000000,"")</f>
        <v/>
      </c>
    </row>
    <row r="91">
      <c r="A91" s="24" t="n"/>
      <c r="B91" s="24" t="n"/>
      <c r="C91" s="24" t="n"/>
      <c r="D91" s="25" t="n"/>
      <c r="E91" s="26" t="n"/>
      <c r="F91" s="26" t="n"/>
      <c r="G91" s="26" t="n"/>
      <c r="H91" s="26" t="n"/>
      <c r="I91" s="26" t="n"/>
      <c r="J91" s="24" t="n"/>
      <c r="K91" s="24" t="n"/>
      <c r="L91" s="22">
        <f>IF(A91="","",IF(AND(F91="",E91=""),"",TODAY()-IF(F91="",E91,F91)))</f>
        <v/>
      </c>
      <c r="M91" s="22">
        <f>IF(OR(A91="",E91=""),"",TODAY()-E91)</f>
        <v/>
      </c>
      <c r="N91" s="22">
        <f>IF(OR(H91="",I91=""),"",I91-H91)</f>
        <v/>
      </c>
      <c r="O91" s="22">
        <f>IF(OR(F91="",G91=""),"",IF(G91-F91&gt;Settings!$B$8,"CRM activity, no buyer contact",""))</f>
        <v/>
      </c>
      <c r="P91" s="22">
        <f>IF(A91="","",IF(OR(C91="Closed won",C91="Closed lost"),"Closed",IF(L91="","Check dates",IF(L91&gt;=Settings!$B$5,"Likely dead",IF(L91&gt;=Settings!$B$4,"Dormant","Active")))))</f>
        <v/>
      </c>
      <c r="Q91" s="22">
        <f>IF(OR(P91="Dormant",P91="Likely dead"),ROUND(100*IFERROR(VLOOKUP(C91,Settings!$D$4:$E$8,2,FALSE),0.3)*MIN(1,N(D91)/Settings!$B$7)*IF(P91="Dormant",1-0.5*(L91-Settings!$B$4)/MAX(1,Settings!$B$5-Settings!$B$4),0.25),0),"")</f>
        <v/>
      </c>
      <c r="R91" s="22">
        <f>IF(P91="Dormant",IF(AND(N(D91)&gt;=Settings!$B$6,N(Q91)&gt;=40),"Re-engage now",IF(N(D91)&gt;=Settings!$B$6,"Investigate, then decide","Low value: batch or close")),IF(P91="Likely dead","Close out or recycle to nurture",IF(P91="Active","Leave: active",IF(P91="Check dates","Add dates",""))))</f>
        <v/>
      </c>
      <c r="S91" s="23">
        <f>IF(OR(R91="Re-engage now",R91="Investigate, then decide"),Q91+ROW()/1000000,"")</f>
        <v/>
      </c>
    </row>
    <row r="92">
      <c r="A92" s="24" t="n"/>
      <c r="B92" s="24" t="n"/>
      <c r="C92" s="24" t="n"/>
      <c r="D92" s="25" t="n"/>
      <c r="E92" s="26" t="n"/>
      <c r="F92" s="26" t="n"/>
      <c r="G92" s="26" t="n"/>
      <c r="H92" s="26" t="n"/>
      <c r="I92" s="26" t="n"/>
      <c r="J92" s="24" t="n"/>
      <c r="K92" s="24" t="n"/>
      <c r="L92" s="22">
        <f>IF(A92="","",IF(AND(F92="",E92=""),"",TODAY()-IF(F92="",E92,F92)))</f>
        <v/>
      </c>
      <c r="M92" s="22">
        <f>IF(OR(A92="",E92=""),"",TODAY()-E92)</f>
        <v/>
      </c>
      <c r="N92" s="22">
        <f>IF(OR(H92="",I92=""),"",I92-H92)</f>
        <v/>
      </c>
      <c r="O92" s="22">
        <f>IF(OR(F92="",G92=""),"",IF(G92-F92&gt;Settings!$B$8,"CRM activity, no buyer contact",""))</f>
        <v/>
      </c>
      <c r="P92" s="22">
        <f>IF(A92="","",IF(OR(C92="Closed won",C92="Closed lost"),"Closed",IF(L92="","Check dates",IF(L92&gt;=Settings!$B$5,"Likely dead",IF(L92&gt;=Settings!$B$4,"Dormant","Active")))))</f>
        <v/>
      </c>
      <c r="Q92" s="22">
        <f>IF(OR(P92="Dormant",P92="Likely dead"),ROUND(100*IFERROR(VLOOKUP(C92,Settings!$D$4:$E$8,2,FALSE),0.3)*MIN(1,N(D92)/Settings!$B$7)*IF(P92="Dormant",1-0.5*(L92-Settings!$B$4)/MAX(1,Settings!$B$5-Settings!$B$4),0.25),0),"")</f>
        <v/>
      </c>
      <c r="R92" s="22">
        <f>IF(P92="Dormant",IF(AND(N(D92)&gt;=Settings!$B$6,N(Q92)&gt;=40),"Re-engage now",IF(N(D92)&gt;=Settings!$B$6,"Investigate, then decide","Low value: batch or close")),IF(P92="Likely dead","Close out or recycle to nurture",IF(P92="Active","Leave: active",IF(P92="Check dates","Add dates",""))))</f>
        <v/>
      </c>
      <c r="S92" s="23">
        <f>IF(OR(R92="Re-engage now",R92="Investigate, then decide"),Q92+ROW()/1000000,"")</f>
        <v/>
      </c>
    </row>
    <row r="93">
      <c r="A93" s="24" t="n"/>
      <c r="B93" s="24" t="n"/>
      <c r="C93" s="24" t="n"/>
      <c r="D93" s="25" t="n"/>
      <c r="E93" s="26" t="n"/>
      <c r="F93" s="26" t="n"/>
      <c r="G93" s="26" t="n"/>
      <c r="H93" s="26" t="n"/>
      <c r="I93" s="26" t="n"/>
      <c r="J93" s="24" t="n"/>
      <c r="K93" s="24" t="n"/>
      <c r="L93" s="22">
        <f>IF(A93="","",IF(AND(F93="",E93=""),"",TODAY()-IF(F93="",E93,F93)))</f>
        <v/>
      </c>
      <c r="M93" s="22">
        <f>IF(OR(A93="",E93=""),"",TODAY()-E93)</f>
        <v/>
      </c>
      <c r="N93" s="22">
        <f>IF(OR(H93="",I93=""),"",I93-H93)</f>
        <v/>
      </c>
      <c r="O93" s="22">
        <f>IF(OR(F93="",G93=""),"",IF(G93-F93&gt;Settings!$B$8,"CRM activity, no buyer contact",""))</f>
        <v/>
      </c>
      <c r="P93" s="22">
        <f>IF(A93="","",IF(OR(C93="Closed won",C93="Closed lost"),"Closed",IF(L93="","Check dates",IF(L93&gt;=Settings!$B$5,"Likely dead",IF(L93&gt;=Settings!$B$4,"Dormant","Active")))))</f>
        <v/>
      </c>
      <c r="Q93" s="22">
        <f>IF(OR(P93="Dormant",P93="Likely dead"),ROUND(100*IFERROR(VLOOKUP(C93,Settings!$D$4:$E$8,2,FALSE),0.3)*MIN(1,N(D93)/Settings!$B$7)*IF(P93="Dormant",1-0.5*(L93-Settings!$B$4)/MAX(1,Settings!$B$5-Settings!$B$4),0.25),0),"")</f>
        <v/>
      </c>
      <c r="R93" s="22">
        <f>IF(P93="Dormant",IF(AND(N(D93)&gt;=Settings!$B$6,N(Q93)&gt;=40),"Re-engage now",IF(N(D93)&gt;=Settings!$B$6,"Investigate, then decide","Low value: batch or close")),IF(P93="Likely dead","Close out or recycle to nurture",IF(P93="Active","Leave: active",IF(P93="Check dates","Add dates",""))))</f>
        <v/>
      </c>
      <c r="S93" s="23">
        <f>IF(OR(R93="Re-engage now",R93="Investigate, then decide"),Q93+ROW()/1000000,"")</f>
        <v/>
      </c>
    </row>
    <row r="94">
      <c r="A94" s="24" t="n"/>
      <c r="B94" s="24" t="n"/>
      <c r="C94" s="24" t="n"/>
      <c r="D94" s="25" t="n"/>
      <c r="E94" s="26" t="n"/>
      <c r="F94" s="26" t="n"/>
      <c r="G94" s="26" t="n"/>
      <c r="H94" s="26" t="n"/>
      <c r="I94" s="26" t="n"/>
      <c r="J94" s="24" t="n"/>
      <c r="K94" s="24" t="n"/>
      <c r="L94" s="22">
        <f>IF(A94="","",IF(AND(F94="",E94=""),"",TODAY()-IF(F94="",E94,F94)))</f>
        <v/>
      </c>
      <c r="M94" s="22">
        <f>IF(OR(A94="",E94=""),"",TODAY()-E94)</f>
        <v/>
      </c>
      <c r="N94" s="22">
        <f>IF(OR(H94="",I94=""),"",I94-H94)</f>
        <v/>
      </c>
      <c r="O94" s="22">
        <f>IF(OR(F94="",G94=""),"",IF(G94-F94&gt;Settings!$B$8,"CRM activity, no buyer contact",""))</f>
        <v/>
      </c>
      <c r="P94" s="22">
        <f>IF(A94="","",IF(OR(C94="Closed won",C94="Closed lost"),"Closed",IF(L94="","Check dates",IF(L94&gt;=Settings!$B$5,"Likely dead",IF(L94&gt;=Settings!$B$4,"Dormant","Active")))))</f>
        <v/>
      </c>
      <c r="Q94" s="22">
        <f>IF(OR(P94="Dormant",P94="Likely dead"),ROUND(100*IFERROR(VLOOKUP(C94,Settings!$D$4:$E$8,2,FALSE),0.3)*MIN(1,N(D94)/Settings!$B$7)*IF(P94="Dormant",1-0.5*(L94-Settings!$B$4)/MAX(1,Settings!$B$5-Settings!$B$4),0.25),0),"")</f>
        <v/>
      </c>
      <c r="R94" s="22">
        <f>IF(P94="Dormant",IF(AND(N(D94)&gt;=Settings!$B$6,N(Q94)&gt;=40),"Re-engage now",IF(N(D94)&gt;=Settings!$B$6,"Investigate, then decide","Low value: batch or close")),IF(P94="Likely dead","Close out or recycle to nurture",IF(P94="Active","Leave: active",IF(P94="Check dates","Add dates",""))))</f>
        <v/>
      </c>
      <c r="S94" s="23">
        <f>IF(OR(R94="Re-engage now",R94="Investigate, then decide"),Q94+ROW()/1000000,"")</f>
        <v/>
      </c>
    </row>
    <row r="95">
      <c r="A95" s="24" t="n"/>
      <c r="B95" s="24" t="n"/>
      <c r="C95" s="24" t="n"/>
      <c r="D95" s="25" t="n"/>
      <c r="E95" s="26" t="n"/>
      <c r="F95" s="26" t="n"/>
      <c r="G95" s="26" t="n"/>
      <c r="H95" s="26" t="n"/>
      <c r="I95" s="26" t="n"/>
      <c r="J95" s="24" t="n"/>
      <c r="K95" s="24" t="n"/>
      <c r="L95" s="22">
        <f>IF(A95="","",IF(AND(F95="",E95=""),"",TODAY()-IF(F95="",E95,F95)))</f>
        <v/>
      </c>
      <c r="M95" s="22">
        <f>IF(OR(A95="",E95=""),"",TODAY()-E95)</f>
        <v/>
      </c>
      <c r="N95" s="22">
        <f>IF(OR(H95="",I95=""),"",I95-H95)</f>
        <v/>
      </c>
      <c r="O95" s="22">
        <f>IF(OR(F95="",G95=""),"",IF(G95-F95&gt;Settings!$B$8,"CRM activity, no buyer contact",""))</f>
        <v/>
      </c>
      <c r="P95" s="22">
        <f>IF(A95="","",IF(OR(C95="Closed won",C95="Closed lost"),"Closed",IF(L95="","Check dates",IF(L95&gt;=Settings!$B$5,"Likely dead",IF(L95&gt;=Settings!$B$4,"Dormant","Active")))))</f>
        <v/>
      </c>
      <c r="Q95" s="22">
        <f>IF(OR(P95="Dormant",P95="Likely dead"),ROUND(100*IFERROR(VLOOKUP(C95,Settings!$D$4:$E$8,2,FALSE),0.3)*MIN(1,N(D95)/Settings!$B$7)*IF(P95="Dormant",1-0.5*(L95-Settings!$B$4)/MAX(1,Settings!$B$5-Settings!$B$4),0.25),0),"")</f>
        <v/>
      </c>
      <c r="R95" s="22">
        <f>IF(P95="Dormant",IF(AND(N(D95)&gt;=Settings!$B$6,N(Q95)&gt;=40),"Re-engage now",IF(N(D95)&gt;=Settings!$B$6,"Investigate, then decide","Low value: batch or close")),IF(P95="Likely dead","Close out or recycle to nurture",IF(P95="Active","Leave: active",IF(P95="Check dates","Add dates",""))))</f>
        <v/>
      </c>
      <c r="S95" s="23">
        <f>IF(OR(R95="Re-engage now",R95="Investigate, then decide"),Q95+ROW()/1000000,"")</f>
        <v/>
      </c>
    </row>
    <row r="96">
      <c r="A96" s="24" t="n"/>
      <c r="B96" s="24" t="n"/>
      <c r="C96" s="24" t="n"/>
      <c r="D96" s="25" t="n"/>
      <c r="E96" s="26" t="n"/>
      <c r="F96" s="26" t="n"/>
      <c r="G96" s="26" t="n"/>
      <c r="H96" s="26" t="n"/>
      <c r="I96" s="26" t="n"/>
      <c r="J96" s="24" t="n"/>
      <c r="K96" s="24" t="n"/>
      <c r="L96" s="22">
        <f>IF(A96="","",IF(AND(F96="",E96=""),"",TODAY()-IF(F96="",E96,F96)))</f>
        <v/>
      </c>
      <c r="M96" s="22">
        <f>IF(OR(A96="",E96=""),"",TODAY()-E96)</f>
        <v/>
      </c>
      <c r="N96" s="22">
        <f>IF(OR(H96="",I96=""),"",I96-H96)</f>
        <v/>
      </c>
      <c r="O96" s="22">
        <f>IF(OR(F96="",G96=""),"",IF(G96-F96&gt;Settings!$B$8,"CRM activity, no buyer contact",""))</f>
        <v/>
      </c>
      <c r="P96" s="22">
        <f>IF(A96="","",IF(OR(C96="Closed won",C96="Closed lost"),"Closed",IF(L96="","Check dates",IF(L96&gt;=Settings!$B$5,"Likely dead",IF(L96&gt;=Settings!$B$4,"Dormant","Active")))))</f>
        <v/>
      </c>
      <c r="Q96" s="22">
        <f>IF(OR(P96="Dormant",P96="Likely dead"),ROUND(100*IFERROR(VLOOKUP(C96,Settings!$D$4:$E$8,2,FALSE),0.3)*MIN(1,N(D96)/Settings!$B$7)*IF(P96="Dormant",1-0.5*(L96-Settings!$B$4)/MAX(1,Settings!$B$5-Settings!$B$4),0.25),0),"")</f>
        <v/>
      </c>
      <c r="R96" s="22">
        <f>IF(P96="Dormant",IF(AND(N(D96)&gt;=Settings!$B$6,N(Q96)&gt;=40),"Re-engage now",IF(N(D96)&gt;=Settings!$B$6,"Investigate, then decide","Low value: batch or close")),IF(P96="Likely dead","Close out or recycle to nurture",IF(P96="Active","Leave: active",IF(P96="Check dates","Add dates",""))))</f>
        <v/>
      </c>
      <c r="S96" s="23">
        <f>IF(OR(R96="Re-engage now",R96="Investigate, then decide"),Q96+ROW()/1000000,"")</f>
        <v/>
      </c>
    </row>
    <row r="97">
      <c r="A97" s="24" t="n"/>
      <c r="B97" s="24" t="n"/>
      <c r="C97" s="24" t="n"/>
      <c r="D97" s="25" t="n"/>
      <c r="E97" s="26" t="n"/>
      <c r="F97" s="26" t="n"/>
      <c r="G97" s="26" t="n"/>
      <c r="H97" s="26" t="n"/>
      <c r="I97" s="26" t="n"/>
      <c r="J97" s="24" t="n"/>
      <c r="K97" s="24" t="n"/>
      <c r="L97" s="22">
        <f>IF(A97="","",IF(AND(F97="",E97=""),"",TODAY()-IF(F97="",E97,F97)))</f>
        <v/>
      </c>
      <c r="M97" s="22">
        <f>IF(OR(A97="",E97=""),"",TODAY()-E97)</f>
        <v/>
      </c>
      <c r="N97" s="22">
        <f>IF(OR(H97="",I97=""),"",I97-H97)</f>
        <v/>
      </c>
      <c r="O97" s="22">
        <f>IF(OR(F97="",G97=""),"",IF(G97-F97&gt;Settings!$B$8,"CRM activity, no buyer contact",""))</f>
        <v/>
      </c>
      <c r="P97" s="22">
        <f>IF(A97="","",IF(OR(C97="Closed won",C97="Closed lost"),"Closed",IF(L97="","Check dates",IF(L97&gt;=Settings!$B$5,"Likely dead",IF(L97&gt;=Settings!$B$4,"Dormant","Active")))))</f>
        <v/>
      </c>
      <c r="Q97" s="22">
        <f>IF(OR(P97="Dormant",P97="Likely dead"),ROUND(100*IFERROR(VLOOKUP(C97,Settings!$D$4:$E$8,2,FALSE),0.3)*MIN(1,N(D97)/Settings!$B$7)*IF(P97="Dormant",1-0.5*(L97-Settings!$B$4)/MAX(1,Settings!$B$5-Settings!$B$4),0.25),0),"")</f>
        <v/>
      </c>
      <c r="R97" s="22">
        <f>IF(P97="Dormant",IF(AND(N(D97)&gt;=Settings!$B$6,N(Q97)&gt;=40),"Re-engage now",IF(N(D97)&gt;=Settings!$B$6,"Investigate, then decide","Low value: batch or close")),IF(P97="Likely dead","Close out or recycle to nurture",IF(P97="Active","Leave: active",IF(P97="Check dates","Add dates",""))))</f>
        <v/>
      </c>
      <c r="S97" s="23">
        <f>IF(OR(R97="Re-engage now",R97="Investigate, then decide"),Q97+ROW()/1000000,"")</f>
        <v/>
      </c>
    </row>
    <row r="98">
      <c r="A98" s="24" t="n"/>
      <c r="B98" s="24" t="n"/>
      <c r="C98" s="24" t="n"/>
      <c r="D98" s="25" t="n"/>
      <c r="E98" s="26" t="n"/>
      <c r="F98" s="26" t="n"/>
      <c r="G98" s="26" t="n"/>
      <c r="H98" s="26" t="n"/>
      <c r="I98" s="26" t="n"/>
      <c r="J98" s="24" t="n"/>
      <c r="K98" s="24" t="n"/>
      <c r="L98" s="22">
        <f>IF(A98="","",IF(AND(F98="",E98=""),"",TODAY()-IF(F98="",E98,F98)))</f>
        <v/>
      </c>
      <c r="M98" s="22">
        <f>IF(OR(A98="",E98=""),"",TODAY()-E98)</f>
        <v/>
      </c>
      <c r="N98" s="22">
        <f>IF(OR(H98="",I98=""),"",I98-H98)</f>
        <v/>
      </c>
      <c r="O98" s="22">
        <f>IF(OR(F98="",G98=""),"",IF(G98-F98&gt;Settings!$B$8,"CRM activity, no buyer contact",""))</f>
        <v/>
      </c>
      <c r="P98" s="22">
        <f>IF(A98="","",IF(OR(C98="Closed won",C98="Closed lost"),"Closed",IF(L98="","Check dates",IF(L98&gt;=Settings!$B$5,"Likely dead",IF(L98&gt;=Settings!$B$4,"Dormant","Active")))))</f>
        <v/>
      </c>
      <c r="Q98" s="22">
        <f>IF(OR(P98="Dormant",P98="Likely dead"),ROUND(100*IFERROR(VLOOKUP(C98,Settings!$D$4:$E$8,2,FALSE),0.3)*MIN(1,N(D98)/Settings!$B$7)*IF(P98="Dormant",1-0.5*(L98-Settings!$B$4)/MAX(1,Settings!$B$5-Settings!$B$4),0.25),0),"")</f>
        <v/>
      </c>
      <c r="R98" s="22">
        <f>IF(P98="Dormant",IF(AND(N(D98)&gt;=Settings!$B$6,N(Q98)&gt;=40),"Re-engage now",IF(N(D98)&gt;=Settings!$B$6,"Investigate, then decide","Low value: batch or close")),IF(P98="Likely dead","Close out or recycle to nurture",IF(P98="Active","Leave: active",IF(P98="Check dates","Add dates",""))))</f>
        <v/>
      </c>
      <c r="S98" s="23">
        <f>IF(OR(R98="Re-engage now",R98="Investigate, then decide"),Q98+ROW()/1000000,"")</f>
        <v/>
      </c>
    </row>
    <row r="99">
      <c r="A99" s="24" t="n"/>
      <c r="B99" s="24" t="n"/>
      <c r="C99" s="24" t="n"/>
      <c r="D99" s="25" t="n"/>
      <c r="E99" s="26" t="n"/>
      <c r="F99" s="26" t="n"/>
      <c r="G99" s="26" t="n"/>
      <c r="H99" s="26" t="n"/>
      <c r="I99" s="26" t="n"/>
      <c r="J99" s="24" t="n"/>
      <c r="K99" s="24" t="n"/>
      <c r="L99" s="22">
        <f>IF(A99="","",IF(AND(F99="",E99=""),"",TODAY()-IF(F99="",E99,F99)))</f>
        <v/>
      </c>
      <c r="M99" s="22">
        <f>IF(OR(A99="",E99=""),"",TODAY()-E99)</f>
        <v/>
      </c>
      <c r="N99" s="22">
        <f>IF(OR(H99="",I99=""),"",I99-H99)</f>
        <v/>
      </c>
      <c r="O99" s="22">
        <f>IF(OR(F99="",G99=""),"",IF(G99-F99&gt;Settings!$B$8,"CRM activity, no buyer contact",""))</f>
        <v/>
      </c>
      <c r="P99" s="22">
        <f>IF(A99="","",IF(OR(C99="Closed won",C99="Closed lost"),"Closed",IF(L99="","Check dates",IF(L99&gt;=Settings!$B$5,"Likely dead",IF(L99&gt;=Settings!$B$4,"Dormant","Active")))))</f>
        <v/>
      </c>
      <c r="Q99" s="22">
        <f>IF(OR(P99="Dormant",P99="Likely dead"),ROUND(100*IFERROR(VLOOKUP(C99,Settings!$D$4:$E$8,2,FALSE),0.3)*MIN(1,N(D99)/Settings!$B$7)*IF(P99="Dormant",1-0.5*(L99-Settings!$B$4)/MAX(1,Settings!$B$5-Settings!$B$4),0.25),0),"")</f>
        <v/>
      </c>
      <c r="R99" s="22">
        <f>IF(P99="Dormant",IF(AND(N(D99)&gt;=Settings!$B$6,N(Q99)&gt;=40),"Re-engage now",IF(N(D99)&gt;=Settings!$B$6,"Investigate, then decide","Low value: batch or close")),IF(P99="Likely dead","Close out or recycle to nurture",IF(P99="Active","Leave: active",IF(P99="Check dates","Add dates",""))))</f>
        <v/>
      </c>
      <c r="S99" s="23">
        <f>IF(OR(R99="Re-engage now",R99="Investigate, then decide"),Q99+ROW()/1000000,"")</f>
        <v/>
      </c>
    </row>
    <row r="100">
      <c r="A100" s="24" t="n"/>
      <c r="B100" s="24" t="n"/>
      <c r="C100" s="24" t="n"/>
      <c r="D100" s="25" t="n"/>
      <c r="E100" s="26" t="n"/>
      <c r="F100" s="26" t="n"/>
      <c r="G100" s="26" t="n"/>
      <c r="H100" s="26" t="n"/>
      <c r="I100" s="26" t="n"/>
      <c r="J100" s="24" t="n"/>
      <c r="K100" s="24" t="n"/>
      <c r="L100" s="22">
        <f>IF(A100="","",IF(AND(F100="",E100=""),"",TODAY()-IF(F100="",E100,F100)))</f>
        <v/>
      </c>
      <c r="M100" s="22">
        <f>IF(OR(A100="",E100=""),"",TODAY()-E100)</f>
        <v/>
      </c>
      <c r="N100" s="22">
        <f>IF(OR(H100="",I100=""),"",I100-H100)</f>
        <v/>
      </c>
      <c r="O100" s="22">
        <f>IF(OR(F100="",G100=""),"",IF(G100-F100&gt;Settings!$B$8,"CRM activity, no buyer contact",""))</f>
        <v/>
      </c>
      <c r="P100" s="22">
        <f>IF(A100="","",IF(OR(C100="Closed won",C100="Closed lost"),"Closed",IF(L100="","Check dates",IF(L100&gt;=Settings!$B$5,"Likely dead",IF(L100&gt;=Settings!$B$4,"Dormant","Active")))))</f>
        <v/>
      </c>
      <c r="Q100" s="22">
        <f>IF(OR(P100="Dormant",P100="Likely dead"),ROUND(100*IFERROR(VLOOKUP(C100,Settings!$D$4:$E$8,2,FALSE),0.3)*MIN(1,N(D100)/Settings!$B$7)*IF(P100="Dormant",1-0.5*(L100-Settings!$B$4)/MAX(1,Settings!$B$5-Settings!$B$4),0.25),0),"")</f>
        <v/>
      </c>
      <c r="R100" s="22">
        <f>IF(P100="Dormant",IF(AND(N(D100)&gt;=Settings!$B$6,N(Q100)&gt;=40),"Re-engage now",IF(N(D100)&gt;=Settings!$B$6,"Investigate, then decide","Low value: batch or close")),IF(P100="Likely dead","Close out or recycle to nurture",IF(P100="Active","Leave: active",IF(P100="Check dates","Add dates",""))))</f>
        <v/>
      </c>
      <c r="S100" s="23">
        <f>IF(OR(R100="Re-engage now",R100="Investigate, then decide"),Q100+ROW()/1000000,"")</f>
        <v/>
      </c>
    </row>
    <row r="101">
      <c r="A101" s="24" t="n"/>
      <c r="B101" s="24" t="n"/>
      <c r="C101" s="24" t="n"/>
      <c r="D101" s="25" t="n"/>
      <c r="E101" s="26" t="n"/>
      <c r="F101" s="26" t="n"/>
      <c r="G101" s="26" t="n"/>
      <c r="H101" s="26" t="n"/>
      <c r="I101" s="26" t="n"/>
      <c r="J101" s="24" t="n"/>
      <c r="K101" s="24" t="n"/>
      <c r="L101" s="22">
        <f>IF(A101="","",IF(AND(F101="",E101=""),"",TODAY()-IF(F101="",E101,F101)))</f>
        <v/>
      </c>
      <c r="M101" s="22">
        <f>IF(OR(A101="",E101=""),"",TODAY()-E101)</f>
        <v/>
      </c>
      <c r="N101" s="22">
        <f>IF(OR(H101="",I101=""),"",I101-H101)</f>
        <v/>
      </c>
      <c r="O101" s="22">
        <f>IF(OR(F101="",G101=""),"",IF(G101-F101&gt;Settings!$B$8,"CRM activity, no buyer contact",""))</f>
        <v/>
      </c>
      <c r="P101" s="22">
        <f>IF(A101="","",IF(OR(C101="Closed won",C101="Closed lost"),"Closed",IF(L101="","Check dates",IF(L101&gt;=Settings!$B$5,"Likely dead",IF(L101&gt;=Settings!$B$4,"Dormant","Active")))))</f>
        <v/>
      </c>
      <c r="Q101" s="22">
        <f>IF(OR(P101="Dormant",P101="Likely dead"),ROUND(100*IFERROR(VLOOKUP(C101,Settings!$D$4:$E$8,2,FALSE),0.3)*MIN(1,N(D101)/Settings!$B$7)*IF(P101="Dormant",1-0.5*(L101-Settings!$B$4)/MAX(1,Settings!$B$5-Settings!$B$4),0.25),0),"")</f>
        <v/>
      </c>
      <c r="R101" s="22">
        <f>IF(P101="Dormant",IF(AND(N(D101)&gt;=Settings!$B$6,N(Q101)&gt;=40),"Re-engage now",IF(N(D101)&gt;=Settings!$B$6,"Investigate, then decide","Low value: batch or close")),IF(P101="Likely dead","Close out or recycle to nurture",IF(P101="Active","Leave: active",IF(P101="Check dates","Add dates",""))))</f>
        <v/>
      </c>
      <c r="S101" s="23">
        <f>IF(OR(R101="Re-engage now",R101="Investigate, then decide"),Q101+ROW()/1000000,"")</f>
        <v/>
      </c>
    </row>
    <row r="102">
      <c r="A102" s="24" t="n"/>
      <c r="B102" s="24" t="n"/>
      <c r="C102" s="24" t="n"/>
      <c r="D102" s="25" t="n"/>
      <c r="E102" s="26" t="n"/>
      <c r="F102" s="26" t="n"/>
      <c r="G102" s="26" t="n"/>
      <c r="H102" s="26" t="n"/>
      <c r="I102" s="26" t="n"/>
      <c r="J102" s="24" t="n"/>
      <c r="K102" s="24" t="n"/>
      <c r="L102" s="22">
        <f>IF(A102="","",IF(AND(F102="",E102=""),"",TODAY()-IF(F102="",E102,F102)))</f>
        <v/>
      </c>
      <c r="M102" s="22">
        <f>IF(OR(A102="",E102=""),"",TODAY()-E102)</f>
        <v/>
      </c>
      <c r="N102" s="22">
        <f>IF(OR(H102="",I102=""),"",I102-H102)</f>
        <v/>
      </c>
      <c r="O102" s="22">
        <f>IF(OR(F102="",G102=""),"",IF(G102-F102&gt;Settings!$B$8,"CRM activity, no buyer contact",""))</f>
        <v/>
      </c>
      <c r="P102" s="22">
        <f>IF(A102="","",IF(OR(C102="Closed won",C102="Closed lost"),"Closed",IF(L102="","Check dates",IF(L102&gt;=Settings!$B$5,"Likely dead",IF(L102&gt;=Settings!$B$4,"Dormant","Active")))))</f>
        <v/>
      </c>
      <c r="Q102" s="22">
        <f>IF(OR(P102="Dormant",P102="Likely dead"),ROUND(100*IFERROR(VLOOKUP(C102,Settings!$D$4:$E$8,2,FALSE),0.3)*MIN(1,N(D102)/Settings!$B$7)*IF(P102="Dormant",1-0.5*(L102-Settings!$B$4)/MAX(1,Settings!$B$5-Settings!$B$4),0.25),0),"")</f>
        <v/>
      </c>
      <c r="R102" s="22">
        <f>IF(P102="Dormant",IF(AND(N(D102)&gt;=Settings!$B$6,N(Q102)&gt;=40),"Re-engage now",IF(N(D102)&gt;=Settings!$B$6,"Investigate, then decide","Low value: batch or close")),IF(P102="Likely dead","Close out or recycle to nurture",IF(P102="Active","Leave: active",IF(P102="Check dates","Add dates",""))))</f>
        <v/>
      </c>
      <c r="S102" s="23">
        <f>IF(OR(R102="Re-engage now",R102="Investigate, then decide"),Q102+ROW()/1000000,"")</f>
        <v/>
      </c>
    </row>
    <row r="103">
      <c r="A103" s="24" t="n"/>
      <c r="B103" s="24" t="n"/>
      <c r="C103" s="24" t="n"/>
      <c r="D103" s="25" t="n"/>
      <c r="E103" s="26" t="n"/>
      <c r="F103" s="26" t="n"/>
      <c r="G103" s="26" t="n"/>
      <c r="H103" s="26" t="n"/>
      <c r="I103" s="26" t="n"/>
      <c r="J103" s="24" t="n"/>
      <c r="K103" s="24" t="n"/>
      <c r="L103" s="22">
        <f>IF(A103="","",IF(AND(F103="",E103=""),"",TODAY()-IF(F103="",E103,F103)))</f>
        <v/>
      </c>
      <c r="M103" s="22">
        <f>IF(OR(A103="",E103=""),"",TODAY()-E103)</f>
        <v/>
      </c>
      <c r="N103" s="22">
        <f>IF(OR(H103="",I103=""),"",I103-H103)</f>
        <v/>
      </c>
      <c r="O103" s="22">
        <f>IF(OR(F103="",G103=""),"",IF(G103-F103&gt;Settings!$B$8,"CRM activity, no buyer contact",""))</f>
        <v/>
      </c>
      <c r="P103" s="22">
        <f>IF(A103="","",IF(OR(C103="Closed won",C103="Closed lost"),"Closed",IF(L103="","Check dates",IF(L103&gt;=Settings!$B$5,"Likely dead",IF(L103&gt;=Settings!$B$4,"Dormant","Active")))))</f>
        <v/>
      </c>
      <c r="Q103" s="22">
        <f>IF(OR(P103="Dormant",P103="Likely dead"),ROUND(100*IFERROR(VLOOKUP(C103,Settings!$D$4:$E$8,2,FALSE),0.3)*MIN(1,N(D103)/Settings!$B$7)*IF(P103="Dormant",1-0.5*(L103-Settings!$B$4)/MAX(1,Settings!$B$5-Settings!$B$4),0.25),0),"")</f>
        <v/>
      </c>
      <c r="R103" s="22">
        <f>IF(P103="Dormant",IF(AND(N(D103)&gt;=Settings!$B$6,N(Q103)&gt;=40),"Re-engage now",IF(N(D103)&gt;=Settings!$B$6,"Investigate, then decide","Low value: batch or close")),IF(P103="Likely dead","Close out or recycle to nurture",IF(P103="Active","Leave: active",IF(P103="Check dates","Add dates",""))))</f>
        <v/>
      </c>
      <c r="S103" s="23">
        <f>IF(OR(R103="Re-engage now",R103="Investigate, then decide"),Q103+ROW()/1000000,"")</f>
        <v/>
      </c>
    </row>
    <row r="104">
      <c r="A104" s="24" t="n"/>
      <c r="B104" s="24" t="n"/>
      <c r="C104" s="24" t="n"/>
      <c r="D104" s="25" t="n"/>
      <c r="E104" s="26" t="n"/>
      <c r="F104" s="26" t="n"/>
      <c r="G104" s="26" t="n"/>
      <c r="H104" s="26" t="n"/>
      <c r="I104" s="26" t="n"/>
      <c r="J104" s="24" t="n"/>
      <c r="K104" s="24" t="n"/>
      <c r="L104" s="22">
        <f>IF(A104="","",IF(AND(F104="",E104=""),"",TODAY()-IF(F104="",E104,F104)))</f>
        <v/>
      </c>
      <c r="M104" s="22">
        <f>IF(OR(A104="",E104=""),"",TODAY()-E104)</f>
        <v/>
      </c>
      <c r="N104" s="22">
        <f>IF(OR(H104="",I104=""),"",I104-H104)</f>
        <v/>
      </c>
      <c r="O104" s="22">
        <f>IF(OR(F104="",G104=""),"",IF(G104-F104&gt;Settings!$B$8,"CRM activity, no buyer contact",""))</f>
        <v/>
      </c>
      <c r="P104" s="22">
        <f>IF(A104="","",IF(OR(C104="Closed won",C104="Closed lost"),"Closed",IF(L104="","Check dates",IF(L104&gt;=Settings!$B$5,"Likely dead",IF(L104&gt;=Settings!$B$4,"Dormant","Active")))))</f>
        <v/>
      </c>
      <c r="Q104" s="22">
        <f>IF(OR(P104="Dormant",P104="Likely dead"),ROUND(100*IFERROR(VLOOKUP(C104,Settings!$D$4:$E$8,2,FALSE),0.3)*MIN(1,N(D104)/Settings!$B$7)*IF(P104="Dormant",1-0.5*(L104-Settings!$B$4)/MAX(1,Settings!$B$5-Settings!$B$4),0.25),0),"")</f>
        <v/>
      </c>
      <c r="R104" s="22">
        <f>IF(P104="Dormant",IF(AND(N(D104)&gt;=Settings!$B$6,N(Q104)&gt;=40),"Re-engage now",IF(N(D104)&gt;=Settings!$B$6,"Investigate, then decide","Low value: batch or close")),IF(P104="Likely dead","Close out or recycle to nurture",IF(P104="Active","Leave: active",IF(P104="Check dates","Add dates",""))))</f>
        <v/>
      </c>
      <c r="S104" s="23">
        <f>IF(OR(R104="Re-engage now",R104="Investigate, then decide"),Q104+ROW()/1000000,"")</f>
        <v/>
      </c>
    </row>
    <row r="105">
      <c r="A105" s="24" t="n"/>
      <c r="B105" s="24" t="n"/>
      <c r="C105" s="24" t="n"/>
      <c r="D105" s="25" t="n"/>
      <c r="E105" s="26" t="n"/>
      <c r="F105" s="26" t="n"/>
      <c r="G105" s="26" t="n"/>
      <c r="H105" s="26" t="n"/>
      <c r="I105" s="26" t="n"/>
      <c r="J105" s="24" t="n"/>
      <c r="K105" s="24" t="n"/>
      <c r="L105" s="22">
        <f>IF(A105="","",IF(AND(F105="",E105=""),"",TODAY()-IF(F105="",E105,F105)))</f>
        <v/>
      </c>
      <c r="M105" s="22">
        <f>IF(OR(A105="",E105=""),"",TODAY()-E105)</f>
        <v/>
      </c>
      <c r="N105" s="22">
        <f>IF(OR(H105="",I105=""),"",I105-H105)</f>
        <v/>
      </c>
      <c r="O105" s="22">
        <f>IF(OR(F105="",G105=""),"",IF(G105-F105&gt;Settings!$B$8,"CRM activity, no buyer contact",""))</f>
        <v/>
      </c>
      <c r="P105" s="22">
        <f>IF(A105="","",IF(OR(C105="Closed won",C105="Closed lost"),"Closed",IF(L105="","Check dates",IF(L105&gt;=Settings!$B$5,"Likely dead",IF(L105&gt;=Settings!$B$4,"Dormant","Active")))))</f>
        <v/>
      </c>
      <c r="Q105" s="22">
        <f>IF(OR(P105="Dormant",P105="Likely dead"),ROUND(100*IFERROR(VLOOKUP(C105,Settings!$D$4:$E$8,2,FALSE),0.3)*MIN(1,N(D105)/Settings!$B$7)*IF(P105="Dormant",1-0.5*(L105-Settings!$B$4)/MAX(1,Settings!$B$5-Settings!$B$4),0.25),0),"")</f>
        <v/>
      </c>
      <c r="R105" s="22">
        <f>IF(P105="Dormant",IF(AND(N(D105)&gt;=Settings!$B$6,N(Q105)&gt;=40),"Re-engage now",IF(N(D105)&gt;=Settings!$B$6,"Investigate, then decide","Low value: batch or close")),IF(P105="Likely dead","Close out or recycle to nurture",IF(P105="Active","Leave: active",IF(P105="Check dates","Add dates",""))))</f>
        <v/>
      </c>
      <c r="S105" s="23">
        <f>IF(OR(R105="Re-engage now",R105="Investigate, then decide"),Q105+ROW()/1000000,"")</f>
        <v/>
      </c>
    </row>
    <row r="106">
      <c r="A106" s="24" t="n"/>
      <c r="B106" s="24" t="n"/>
      <c r="C106" s="24" t="n"/>
      <c r="D106" s="25" t="n"/>
      <c r="E106" s="26" t="n"/>
      <c r="F106" s="26" t="n"/>
      <c r="G106" s="26" t="n"/>
      <c r="H106" s="26" t="n"/>
      <c r="I106" s="26" t="n"/>
      <c r="J106" s="24" t="n"/>
      <c r="K106" s="24" t="n"/>
      <c r="L106" s="22">
        <f>IF(A106="","",IF(AND(F106="",E106=""),"",TODAY()-IF(F106="",E106,F106)))</f>
        <v/>
      </c>
      <c r="M106" s="22">
        <f>IF(OR(A106="",E106=""),"",TODAY()-E106)</f>
        <v/>
      </c>
      <c r="N106" s="22">
        <f>IF(OR(H106="",I106=""),"",I106-H106)</f>
        <v/>
      </c>
      <c r="O106" s="22">
        <f>IF(OR(F106="",G106=""),"",IF(G106-F106&gt;Settings!$B$8,"CRM activity, no buyer contact",""))</f>
        <v/>
      </c>
      <c r="P106" s="22">
        <f>IF(A106="","",IF(OR(C106="Closed won",C106="Closed lost"),"Closed",IF(L106="","Check dates",IF(L106&gt;=Settings!$B$5,"Likely dead",IF(L106&gt;=Settings!$B$4,"Dormant","Active")))))</f>
        <v/>
      </c>
      <c r="Q106" s="22">
        <f>IF(OR(P106="Dormant",P106="Likely dead"),ROUND(100*IFERROR(VLOOKUP(C106,Settings!$D$4:$E$8,2,FALSE),0.3)*MIN(1,N(D106)/Settings!$B$7)*IF(P106="Dormant",1-0.5*(L106-Settings!$B$4)/MAX(1,Settings!$B$5-Settings!$B$4),0.25),0),"")</f>
        <v/>
      </c>
      <c r="R106" s="22">
        <f>IF(P106="Dormant",IF(AND(N(D106)&gt;=Settings!$B$6,N(Q106)&gt;=40),"Re-engage now",IF(N(D106)&gt;=Settings!$B$6,"Investigate, then decide","Low value: batch or close")),IF(P106="Likely dead","Close out or recycle to nurture",IF(P106="Active","Leave: active",IF(P106="Check dates","Add dates",""))))</f>
        <v/>
      </c>
      <c r="S106" s="23">
        <f>IF(OR(R106="Re-engage now",R106="Investigate, then decide"),Q106+ROW()/1000000,"")</f>
        <v/>
      </c>
    </row>
    <row r="107">
      <c r="A107" s="24" t="n"/>
      <c r="B107" s="24" t="n"/>
      <c r="C107" s="24" t="n"/>
      <c r="D107" s="25" t="n"/>
      <c r="E107" s="26" t="n"/>
      <c r="F107" s="26" t="n"/>
      <c r="G107" s="26" t="n"/>
      <c r="H107" s="26" t="n"/>
      <c r="I107" s="26" t="n"/>
      <c r="J107" s="24" t="n"/>
      <c r="K107" s="24" t="n"/>
      <c r="L107" s="22">
        <f>IF(A107="","",IF(AND(F107="",E107=""),"",TODAY()-IF(F107="",E107,F107)))</f>
        <v/>
      </c>
      <c r="M107" s="22">
        <f>IF(OR(A107="",E107=""),"",TODAY()-E107)</f>
        <v/>
      </c>
      <c r="N107" s="22">
        <f>IF(OR(H107="",I107=""),"",I107-H107)</f>
        <v/>
      </c>
      <c r="O107" s="22">
        <f>IF(OR(F107="",G107=""),"",IF(G107-F107&gt;Settings!$B$8,"CRM activity, no buyer contact",""))</f>
        <v/>
      </c>
      <c r="P107" s="22">
        <f>IF(A107="","",IF(OR(C107="Closed won",C107="Closed lost"),"Closed",IF(L107="","Check dates",IF(L107&gt;=Settings!$B$5,"Likely dead",IF(L107&gt;=Settings!$B$4,"Dormant","Active")))))</f>
        <v/>
      </c>
      <c r="Q107" s="22">
        <f>IF(OR(P107="Dormant",P107="Likely dead"),ROUND(100*IFERROR(VLOOKUP(C107,Settings!$D$4:$E$8,2,FALSE),0.3)*MIN(1,N(D107)/Settings!$B$7)*IF(P107="Dormant",1-0.5*(L107-Settings!$B$4)/MAX(1,Settings!$B$5-Settings!$B$4),0.25),0),"")</f>
        <v/>
      </c>
      <c r="R107" s="22">
        <f>IF(P107="Dormant",IF(AND(N(D107)&gt;=Settings!$B$6,N(Q107)&gt;=40),"Re-engage now",IF(N(D107)&gt;=Settings!$B$6,"Investigate, then decide","Low value: batch or close")),IF(P107="Likely dead","Close out or recycle to nurture",IF(P107="Active","Leave: active",IF(P107="Check dates","Add dates",""))))</f>
        <v/>
      </c>
      <c r="S107" s="23">
        <f>IF(OR(R107="Re-engage now",R107="Investigate, then decide"),Q107+ROW()/1000000,"")</f>
        <v/>
      </c>
    </row>
    <row r="108">
      <c r="A108" s="24" t="n"/>
      <c r="B108" s="24" t="n"/>
      <c r="C108" s="24" t="n"/>
      <c r="D108" s="25" t="n"/>
      <c r="E108" s="26" t="n"/>
      <c r="F108" s="26" t="n"/>
      <c r="G108" s="26" t="n"/>
      <c r="H108" s="26" t="n"/>
      <c r="I108" s="26" t="n"/>
      <c r="J108" s="24" t="n"/>
      <c r="K108" s="24" t="n"/>
      <c r="L108" s="22">
        <f>IF(A108="","",IF(AND(F108="",E108=""),"",TODAY()-IF(F108="",E108,F108)))</f>
        <v/>
      </c>
      <c r="M108" s="22">
        <f>IF(OR(A108="",E108=""),"",TODAY()-E108)</f>
        <v/>
      </c>
      <c r="N108" s="22">
        <f>IF(OR(H108="",I108=""),"",I108-H108)</f>
        <v/>
      </c>
      <c r="O108" s="22">
        <f>IF(OR(F108="",G108=""),"",IF(G108-F108&gt;Settings!$B$8,"CRM activity, no buyer contact",""))</f>
        <v/>
      </c>
      <c r="P108" s="22">
        <f>IF(A108="","",IF(OR(C108="Closed won",C108="Closed lost"),"Closed",IF(L108="","Check dates",IF(L108&gt;=Settings!$B$5,"Likely dead",IF(L108&gt;=Settings!$B$4,"Dormant","Active")))))</f>
        <v/>
      </c>
      <c r="Q108" s="22">
        <f>IF(OR(P108="Dormant",P108="Likely dead"),ROUND(100*IFERROR(VLOOKUP(C108,Settings!$D$4:$E$8,2,FALSE),0.3)*MIN(1,N(D108)/Settings!$B$7)*IF(P108="Dormant",1-0.5*(L108-Settings!$B$4)/MAX(1,Settings!$B$5-Settings!$B$4),0.25),0),"")</f>
        <v/>
      </c>
      <c r="R108" s="22">
        <f>IF(P108="Dormant",IF(AND(N(D108)&gt;=Settings!$B$6,N(Q108)&gt;=40),"Re-engage now",IF(N(D108)&gt;=Settings!$B$6,"Investigate, then decide","Low value: batch or close")),IF(P108="Likely dead","Close out or recycle to nurture",IF(P108="Active","Leave: active",IF(P108="Check dates","Add dates",""))))</f>
        <v/>
      </c>
      <c r="S108" s="23">
        <f>IF(OR(R108="Re-engage now",R108="Investigate, then decide"),Q108+ROW()/1000000,"")</f>
        <v/>
      </c>
    </row>
    <row r="109">
      <c r="A109" s="24" t="n"/>
      <c r="B109" s="24" t="n"/>
      <c r="C109" s="24" t="n"/>
      <c r="D109" s="25" t="n"/>
      <c r="E109" s="26" t="n"/>
      <c r="F109" s="26" t="n"/>
      <c r="G109" s="26" t="n"/>
      <c r="H109" s="26" t="n"/>
      <c r="I109" s="26" t="n"/>
      <c r="J109" s="24" t="n"/>
      <c r="K109" s="24" t="n"/>
      <c r="L109" s="22">
        <f>IF(A109="","",IF(AND(F109="",E109=""),"",TODAY()-IF(F109="",E109,F109)))</f>
        <v/>
      </c>
      <c r="M109" s="22">
        <f>IF(OR(A109="",E109=""),"",TODAY()-E109)</f>
        <v/>
      </c>
      <c r="N109" s="22">
        <f>IF(OR(H109="",I109=""),"",I109-H109)</f>
        <v/>
      </c>
      <c r="O109" s="22">
        <f>IF(OR(F109="",G109=""),"",IF(G109-F109&gt;Settings!$B$8,"CRM activity, no buyer contact",""))</f>
        <v/>
      </c>
      <c r="P109" s="22">
        <f>IF(A109="","",IF(OR(C109="Closed won",C109="Closed lost"),"Closed",IF(L109="","Check dates",IF(L109&gt;=Settings!$B$5,"Likely dead",IF(L109&gt;=Settings!$B$4,"Dormant","Active")))))</f>
        <v/>
      </c>
      <c r="Q109" s="22">
        <f>IF(OR(P109="Dormant",P109="Likely dead"),ROUND(100*IFERROR(VLOOKUP(C109,Settings!$D$4:$E$8,2,FALSE),0.3)*MIN(1,N(D109)/Settings!$B$7)*IF(P109="Dormant",1-0.5*(L109-Settings!$B$4)/MAX(1,Settings!$B$5-Settings!$B$4),0.25),0),"")</f>
        <v/>
      </c>
      <c r="R109" s="22">
        <f>IF(P109="Dormant",IF(AND(N(D109)&gt;=Settings!$B$6,N(Q109)&gt;=40),"Re-engage now",IF(N(D109)&gt;=Settings!$B$6,"Investigate, then decide","Low value: batch or close")),IF(P109="Likely dead","Close out or recycle to nurture",IF(P109="Active","Leave: active",IF(P109="Check dates","Add dates",""))))</f>
        <v/>
      </c>
      <c r="S109" s="23">
        <f>IF(OR(R109="Re-engage now",R109="Investigate, then decide"),Q109+ROW()/1000000,"")</f>
        <v/>
      </c>
    </row>
    <row r="110">
      <c r="A110" s="24" t="n"/>
      <c r="B110" s="24" t="n"/>
      <c r="C110" s="24" t="n"/>
      <c r="D110" s="25" t="n"/>
      <c r="E110" s="26" t="n"/>
      <c r="F110" s="26" t="n"/>
      <c r="G110" s="26" t="n"/>
      <c r="H110" s="26" t="n"/>
      <c r="I110" s="26" t="n"/>
      <c r="J110" s="24" t="n"/>
      <c r="K110" s="24" t="n"/>
      <c r="L110" s="22">
        <f>IF(A110="","",IF(AND(F110="",E110=""),"",TODAY()-IF(F110="",E110,F110)))</f>
        <v/>
      </c>
      <c r="M110" s="22">
        <f>IF(OR(A110="",E110=""),"",TODAY()-E110)</f>
        <v/>
      </c>
      <c r="N110" s="22">
        <f>IF(OR(H110="",I110=""),"",I110-H110)</f>
        <v/>
      </c>
      <c r="O110" s="22">
        <f>IF(OR(F110="",G110=""),"",IF(G110-F110&gt;Settings!$B$8,"CRM activity, no buyer contact",""))</f>
        <v/>
      </c>
      <c r="P110" s="22">
        <f>IF(A110="","",IF(OR(C110="Closed won",C110="Closed lost"),"Closed",IF(L110="","Check dates",IF(L110&gt;=Settings!$B$5,"Likely dead",IF(L110&gt;=Settings!$B$4,"Dormant","Active")))))</f>
        <v/>
      </c>
      <c r="Q110" s="22">
        <f>IF(OR(P110="Dormant",P110="Likely dead"),ROUND(100*IFERROR(VLOOKUP(C110,Settings!$D$4:$E$8,2,FALSE),0.3)*MIN(1,N(D110)/Settings!$B$7)*IF(P110="Dormant",1-0.5*(L110-Settings!$B$4)/MAX(1,Settings!$B$5-Settings!$B$4),0.25),0),"")</f>
        <v/>
      </c>
      <c r="R110" s="22">
        <f>IF(P110="Dormant",IF(AND(N(D110)&gt;=Settings!$B$6,N(Q110)&gt;=40),"Re-engage now",IF(N(D110)&gt;=Settings!$B$6,"Investigate, then decide","Low value: batch or close")),IF(P110="Likely dead","Close out or recycle to nurture",IF(P110="Active","Leave: active",IF(P110="Check dates","Add dates",""))))</f>
        <v/>
      </c>
      <c r="S110" s="23">
        <f>IF(OR(R110="Re-engage now",R110="Investigate, then decide"),Q110+ROW()/1000000,"")</f>
        <v/>
      </c>
    </row>
    <row r="111">
      <c r="A111" s="24" t="n"/>
      <c r="B111" s="24" t="n"/>
      <c r="C111" s="24" t="n"/>
      <c r="D111" s="25" t="n"/>
      <c r="E111" s="26" t="n"/>
      <c r="F111" s="26" t="n"/>
      <c r="G111" s="26" t="n"/>
      <c r="H111" s="26" t="n"/>
      <c r="I111" s="26" t="n"/>
      <c r="J111" s="24" t="n"/>
      <c r="K111" s="24" t="n"/>
      <c r="L111" s="22">
        <f>IF(A111="","",IF(AND(F111="",E111=""),"",TODAY()-IF(F111="",E111,F111)))</f>
        <v/>
      </c>
      <c r="M111" s="22">
        <f>IF(OR(A111="",E111=""),"",TODAY()-E111)</f>
        <v/>
      </c>
      <c r="N111" s="22">
        <f>IF(OR(H111="",I111=""),"",I111-H111)</f>
        <v/>
      </c>
      <c r="O111" s="22">
        <f>IF(OR(F111="",G111=""),"",IF(G111-F111&gt;Settings!$B$8,"CRM activity, no buyer contact",""))</f>
        <v/>
      </c>
      <c r="P111" s="22">
        <f>IF(A111="","",IF(OR(C111="Closed won",C111="Closed lost"),"Closed",IF(L111="","Check dates",IF(L111&gt;=Settings!$B$5,"Likely dead",IF(L111&gt;=Settings!$B$4,"Dormant","Active")))))</f>
        <v/>
      </c>
      <c r="Q111" s="22">
        <f>IF(OR(P111="Dormant",P111="Likely dead"),ROUND(100*IFERROR(VLOOKUP(C111,Settings!$D$4:$E$8,2,FALSE),0.3)*MIN(1,N(D111)/Settings!$B$7)*IF(P111="Dormant",1-0.5*(L111-Settings!$B$4)/MAX(1,Settings!$B$5-Settings!$B$4),0.25),0),"")</f>
        <v/>
      </c>
      <c r="R111" s="22">
        <f>IF(P111="Dormant",IF(AND(N(D111)&gt;=Settings!$B$6,N(Q111)&gt;=40),"Re-engage now",IF(N(D111)&gt;=Settings!$B$6,"Investigate, then decide","Low value: batch or close")),IF(P111="Likely dead","Close out or recycle to nurture",IF(P111="Active","Leave: active",IF(P111="Check dates","Add dates",""))))</f>
        <v/>
      </c>
      <c r="S111" s="23">
        <f>IF(OR(R111="Re-engage now",R111="Investigate, then decide"),Q111+ROW()/1000000,"")</f>
        <v/>
      </c>
    </row>
    <row r="112">
      <c r="A112" s="24" t="n"/>
      <c r="B112" s="24" t="n"/>
      <c r="C112" s="24" t="n"/>
      <c r="D112" s="25" t="n"/>
      <c r="E112" s="26" t="n"/>
      <c r="F112" s="26" t="n"/>
      <c r="G112" s="26" t="n"/>
      <c r="H112" s="26" t="n"/>
      <c r="I112" s="26" t="n"/>
      <c r="J112" s="24" t="n"/>
      <c r="K112" s="24" t="n"/>
      <c r="L112" s="22">
        <f>IF(A112="","",IF(AND(F112="",E112=""),"",TODAY()-IF(F112="",E112,F112)))</f>
        <v/>
      </c>
      <c r="M112" s="22">
        <f>IF(OR(A112="",E112=""),"",TODAY()-E112)</f>
        <v/>
      </c>
      <c r="N112" s="22">
        <f>IF(OR(H112="",I112=""),"",I112-H112)</f>
        <v/>
      </c>
      <c r="O112" s="22">
        <f>IF(OR(F112="",G112=""),"",IF(G112-F112&gt;Settings!$B$8,"CRM activity, no buyer contact",""))</f>
        <v/>
      </c>
      <c r="P112" s="22">
        <f>IF(A112="","",IF(OR(C112="Closed won",C112="Closed lost"),"Closed",IF(L112="","Check dates",IF(L112&gt;=Settings!$B$5,"Likely dead",IF(L112&gt;=Settings!$B$4,"Dormant","Active")))))</f>
        <v/>
      </c>
      <c r="Q112" s="22">
        <f>IF(OR(P112="Dormant",P112="Likely dead"),ROUND(100*IFERROR(VLOOKUP(C112,Settings!$D$4:$E$8,2,FALSE),0.3)*MIN(1,N(D112)/Settings!$B$7)*IF(P112="Dormant",1-0.5*(L112-Settings!$B$4)/MAX(1,Settings!$B$5-Settings!$B$4),0.25),0),"")</f>
        <v/>
      </c>
      <c r="R112" s="22">
        <f>IF(P112="Dormant",IF(AND(N(D112)&gt;=Settings!$B$6,N(Q112)&gt;=40),"Re-engage now",IF(N(D112)&gt;=Settings!$B$6,"Investigate, then decide","Low value: batch or close")),IF(P112="Likely dead","Close out or recycle to nurture",IF(P112="Active","Leave: active",IF(P112="Check dates","Add dates",""))))</f>
        <v/>
      </c>
      <c r="S112" s="23">
        <f>IF(OR(R112="Re-engage now",R112="Investigate, then decide"),Q112+ROW()/1000000,"")</f>
        <v/>
      </c>
    </row>
    <row r="113">
      <c r="A113" s="24" t="n"/>
      <c r="B113" s="24" t="n"/>
      <c r="C113" s="24" t="n"/>
      <c r="D113" s="25" t="n"/>
      <c r="E113" s="26" t="n"/>
      <c r="F113" s="26" t="n"/>
      <c r="G113" s="26" t="n"/>
      <c r="H113" s="26" t="n"/>
      <c r="I113" s="26" t="n"/>
      <c r="J113" s="24" t="n"/>
      <c r="K113" s="24" t="n"/>
      <c r="L113" s="22">
        <f>IF(A113="","",IF(AND(F113="",E113=""),"",TODAY()-IF(F113="",E113,F113)))</f>
        <v/>
      </c>
      <c r="M113" s="22">
        <f>IF(OR(A113="",E113=""),"",TODAY()-E113)</f>
        <v/>
      </c>
      <c r="N113" s="22">
        <f>IF(OR(H113="",I113=""),"",I113-H113)</f>
        <v/>
      </c>
      <c r="O113" s="22">
        <f>IF(OR(F113="",G113=""),"",IF(G113-F113&gt;Settings!$B$8,"CRM activity, no buyer contact",""))</f>
        <v/>
      </c>
      <c r="P113" s="22">
        <f>IF(A113="","",IF(OR(C113="Closed won",C113="Closed lost"),"Closed",IF(L113="","Check dates",IF(L113&gt;=Settings!$B$5,"Likely dead",IF(L113&gt;=Settings!$B$4,"Dormant","Active")))))</f>
        <v/>
      </c>
      <c r="Q113" s="22">
        <f>IF(OR(P113="Dormant",P113="Likely dead"),ROUND(100*IFERROR(VLOOKUP(C113,Settings!$D$4:$E$8,2,FALSE),0.3)*MIN(1,N(D113)/Settings!$B$7)*IF(P113="Dormant",1-0.5*(L113-Settings!$B$4)/MAX(1,Settings!$B$5-Settings!$B$4),0.25),0),"")</f>
        <v/>
      </c>
      <c r="R113" s="22">
        <f>IF(P113="Dormant",IF(AND(N(D113)&gt;=Settings!$B$6,N(Q113)&gt;=40),"Re-engage now",IF(N(D113)&gt;=Settings!$B$6,"Investigate, then decide","Low value: batch or close")),IF(P113="Likely dead","Close out or recycle to nurture",IF(P113="Active","Leave: active",IF(P113="Check dates","Add dates",""))))</f>
        <v/>
      </c>
      <c r="S113" s="23">
        <f>IF(OR(R113="Re-engage now",R113="Investigate, then decide"),Q113+ROW()/1000000,"")</f>
        <v/>
      </c>
    </row>
    <row r="114">
      <c r="A114" s="24" t="n"/>
      <c r="B114" s="24" t="n"/>
      <c r="C114" s="24" t="n"/>
      <c r="D114" s="25" t="n"/>
      <c r="E114" s="26" t="n"/>
      <c r="F114" s="26" t="n"/>
      <c r="G114" s="26" t="n"/>
      <c r="H114" s="26" t="n"/>
      <c r="I114" s="26" t="n"/>
      <c r="J114" s="24" t="n"/>
      <c r="K114" s="24" t="n"/>
      <c r="L114" s="22">
        <f>IF(A114="","",IF(AND(F114="",E114=""),"",TODAY()-IF(F114="",E114,F114)))</f>
        <v/>
      </c>
      <c r="M114" s="22">
        <f>IF(OR(A114="",E114=""),"",TODAY()-E114)</f>
        <v/>
      </c>
      <c r="N114" s="22">
        <f>IF(OR(H114="",I114=""),"",I114-H114)</f>
        <v/>
      </c>
      <c r="O114" s="22">
        <f>IF(OR(F114="",G114=""),"",IF(G114-F114&gt;Settings!$B$8,"CRM activity, no buyer contact",""))</f>
        <v/>
      </c>
      <c r="P114" s="22">
        <f>IF(A114="","",IF(OR(C114="Closed won",C114="Closed lost"),"Closed",IF(L114="","Check dates",IF(L114&gt;=Settings!$B$5,"Likely dead",IF(L114&gt;=Settings!$B$4,"Dormant","Active")))))</f>
        <v/>
      </c>
      <c r="Q114" s="22">
        <f>IF(OR(P114="Dormant",P114="Likely dead"),ROUND(100*IFERROR(VLOOKUP(C114,Settings!$D$4:$E$8,2,FALSE),0.3)*MIN(1,N(D114)/Settings!$B$7)*IF(P114="Dormant",1-0.5*(L114-Settings!$B$4)/MAX(1,Settings!$B$5-Settings!$B$4),0.25),0),"")</f>
        <v/>
      </c>
      <c r="R114" s="22">
        <f>IF(P114="Dormant",IF(AND(N(D114)&gt;=Settings!$B$6,N(Q114)&gt;=40),"Re-engage now",IF(N(D114)&gt;=Settings!$B$6,"Investigate, then decide","Low value: batch or close")),IF(P114="Likely dead","Close out or recycle to nurture",IF(P114="Active","Leave: active",IF(P114="Check dates","Add dates",""))))</f>
        <v/>
      </c>
      <c r="S114" s="23">
        <f>IF(OR(R114="Re-engage now",R114="Investigate, then decide"),Q114+ROW()/1000000,"")</f>
        <v/>
      </c>
    </row>
    <row r="115">
      <c r="A115" s="24" t="n"/>
      <c r="B115" s="24" t="n"/>
      <c r="C115" s="24" t="n"/>
      <c r="D115" s="25" t="n"/>
      <c r="E115" s="26" t="n"/>
      <c r="F115" s="26" t="n"/>
      <c r="G115" s="26" t="n"/>
      <c r="H115" s="26" t="n"/>
      <c r="I115" s="26" t="n"/>
      <c r="J115" s="24" t="n"/>
      <c r="K115" s="24" t="n"/>
      <c r="L115" s="22">
        <f>IF(A115="","",IF(AND(F115="",E115=""),"",TODAY()-IF(F115="",E115,F115)))</f>
        <v/>
      </c>
      <c r="M115" s="22">
        <f>IF(OR(A115="",E115=""),"",TODAY()-E115)</f>
        <v/>
      </c>
      <c r="N115" s="22">
        <f>IF(OR(H115="",I115=""),"",I115-H115)</f>
        <v/>
      </c>
      <c r="O115" s="22">
        <f>IF(OR(F115="",G115=""),"",IF(G115-F115&gt;Settings!$B$8,"CRM activity, no buyer contact",""))</f>
        <v/>
      </c>
      <c r="P115" s="22">
        <f>IF(A115="","",IF(OR(C115="Closed won",C115="Closed lost"),"Closed",IF(L115="","Check dates",IF(L115&gt;=Settings!$B$5,"Likely dead",IF(L115&gt;=Settings!$B$4,"Dormant","Active")))))</f>
        <v/>
      </c>
      <c r="Q115" s="22">
        <f>IF(OR(P115="Dormant",P115="Likely dead"),ROUND(100*IFERROR(VLOOKUP(C115,Settings!$D$4:$E$8,2,FALSE),0.3)*MIN(1,N(D115)/Settings!$B$7)*IF(P115="Dormant",1-0.5*(L115-Settings!$B$4)/MAX(1,Settings!$B$5-Settings!$B$4),0.25),0),"")</f>
        <v/>
      </c>
      <c r="R115" s="22">
        <f>IF(P115="Dormant",IF(AND(N(D115)&gt;=Settings!$B$6,N(Q115)&gt;=40),"Re-engage now",IF(N(D115)&gt;=Settings!$B$6,"Investigate, then decide","Low value: batch or close")),IF(P115="Likely dead","Close out or recycle to nurture",IF(P115="Active","Leave: active",IF(P115="Check dates","Add dates",""))))</f>
        <v/>
      </c>
      <c r="S115" s="23">
        <f>IF(OR(R115="Re-engage now",R115="Investigate, then decide"),Q115+ROW()/1000000,"")</f>
        <v/>
      </c>
    </row>
    <row r="116">
      <c r="A116" s="24" t="n"/>
      <c r="B116" s="24" t="n"/>
      <c r="C116" s="24" t="n"/>
      <c r="D116" s="25" t="n"/>
      <c r="E116" s="26" t="n"/>
      <c r="F116" s="26" t="n"/>
      <c r="G116" s="26" t="n"/>
      <c r="H116" s="26" t="n"/>
      <c r="I116" s="26" t="n"/>
      <c r="J116" s="24" t="n"/>
      <c r="K116" s="24" t="n"/>
      <c r="L116" s="22">
        <f>IF(A116="","",IF(AND(F116="",E116=""),"",TODAY()-IF(F116="",E116,F116)))</f>
        <v/>
      </c>
      <c r="M116" s="22">
        <f>IF(OR(A116="",E116=""),"",TODAY()-E116)</f>
        <v/>
      </c>
      <c r="N116" s="22">
        <f>IF(OR(H116="",I116=""),"",I116-H116)</f>
        <v/>
      </c>
      <c r="O116" s="22">
        <f>IF(OR(F116="",G116=""),"",IF(G116-F116&gt;Settings!$B$8,"CRM activity, no buyer contact",""))</f>
        <v/>
      </c>
      <c r="P116" s="22">
        <f>IF(A116="","",IF(OR(C116="Closed won",C116="Closed lost"),"Closed",IF(L116="","Check dates",IF(L116&gt;=Settings!$B$5,"Likely dead",IF(L116&gt;=Settings!$B$4,"Dormant","Active")))))</f>
        <v/>
      </c>
      <c r="Q116" s="22">
        <f>IF(OR(P116="Dormant",P116="Likely dead"),ROUND(100*IFERROR(VLOOKUP(C116,Settings!$D$4:$E$8,2,FALSE),0.3)*MIN(1,N(D116)/Settings!$B$7)*IF(P116="Dormant",1-0.5*(L116-Settings!$B$4)/MAX(1,Settings!$B$5-Settings!$B$4),0.25),0),"")</f>
        <v/>
      </c>
      <c r="R116" s="22">
        <f>IF(P116="Dormant",IF(AND(N(D116)&gt;=Settings!$B$6,N(Q116)&gt;=40),"Re-engage now",IF(N(D116)&gt;=Settings!$B$6,"Investigate, then decide","Low value: batch or close")),IF(P116="Likely dead","Close out or recycle to nurture",IF(P116="Active","Leave: active",IF(P116="Check dates","Add dates",""))))</f>
        <v/>
      </c>
      <c r="S116" s="23">
        <f>IF(OR(R116="Re-engage now",R116="Investigate, then decide"),Q116+ROW()/1000000,"")</f>
        <v/>
      </c>
    </row>
    <row r="117">
      <c r="A117" s="24" t="n"/>
      <c r="B117" s="24" t="n"/>
      <c r="C117" s="24" t="n"/>
      <c r="D117" s="25" t="n"/>
      <c r="E117" s="26" t="n"/>
      <c r="F117" s="26" t="n"/>
      <c r="G117" s="26" t="n"/>
      <c r="H117" s="26" t="n"/>
      <c r="I117" s="26" t="n"/>
      <c r="J117" s="24" t="n"/>
      <c r="K117" s="24" t="n"/>
      <c r="L117" s="22">
        <f>IF(A117="","",IF(AND(F117="",E117=""),"",TODAY()-IF(F117="",E117,F117)))</f>
        <v/>
      </c>
      <c r="M117" s="22">
        <f>IF(OR(A117="",E117=""),"",TODAY()-E117)</f>
        <v/>
      </c>
      <c r="N117" s="22">
        <f>IF(OR(H117="",I117=""),"",I117-H117)</f>
        <v/>
      </c>
      <c r="O117" s="22">
        <f>IF(OR(F117="",G117=""),"",IF(G117-F117&gt;Settings!$B$8,"CRM activity, no buyer contact",""))</f>
        <v/>
      </c>
      <c r="P117" s="22">
        <f>IF(A117="","",IF(OR(C117="Closed won",C117="Closed lost"),"Closed",IF(L117="","Check dates",IF(L117&gt;=Settings!$B$5,"Likely dead",IF(L117&gt;=Settings!$B$4,"Dormant","Active")))))</f>
        <v/>
      </c>
      <c r="Q117" s="22">
        <f>IF(OR(P117="Dormant",P117="Likely dead"),ROUND(100*IFERROR(VLOOKUP(C117,Settings!$D$4:$E$8,2,FALSE),0.3)*MIN(1,N(D117)/Settings!$B$7)*IF(P117="Dormant",1-0.5*(L117-Settings!$B$4)/MAX(1,Settings!$B$5-Settings!$B$4),0.25),0),"")</f>
        <v/>
      </c>
      <c r="R117" s="22">
        <f>IF(P117="Dormant",IF(AND(N(D117)&gt;=Settings!$B$6,N(Q117)&gt;=40),"Re-engage now",IF(N(D117)&gt;=Settings!$B$6,"Investigate, then decide","Low value: batch or close")),IF(P117="Likely dead","Close out or recycle to nurture",IF(P117="Active","Leave: active",IF(P117="Check dates","Add dates",""))))</f>
        <v/>
      </c>
      <c r="S117" s="23">
        <f>IF(OR(R117="Re-engage now",R117="Investigate, then decide"),Q117+ROW()/1000000,"")</f>
        <v/>
      </c>
    </row>
    <row r="118">
      <c r="A118" s="24" t="n"/>
      <c r="B118" s="24" t="n"/>
      <c r="C118" s="24" t="n"/>
      <c r="D118" s="25" t="n"/>
      <c r="E118" s="26" t="n"/>
      <c r="F118" s="26" t="n"/>
      <c r="G118" s="26" t="n"/>
      <c r="H118" s="26" t="n"/>
      <c r="I118" s="26" t="n"/>
      <c r="J118" s="24" t="n"/>
      <c r="K118" s="24" t="n"/>
      <c r="L118" s="22">
        <f>IF(A118="","",IF(AND(F118="",E118=""),"",TODAY()-IF(F118="",E118,F118)))</f>
        <v/>
      </c>
      <c r="M118" s="22">
        <f>IF(OR(A118="",E118=""),"",TODAY()-E118)</f>
        <v/>
      </c>
      <c r="N118" s="22">
        <f>IF(OR(H118="",I118=""),"",I118-H118)</f>
        <v/>
      </c>
      <c r="O118" s="22">
        <f>IF(OR(F118="",G118=""),"",IF(G118-F118&gt;Settings!$B$8,"CRM activity, no buyer contact",""))</f>
        <v/>
      </c>
      <c r="P118" s="22">
        <f>IF(A118="","",IF(OR(C118="Closed won",C118="Closed lost"),"Closed",IF(L118="","Check dates",IF(L118&gt;=Settings!$B$5,"Likely dead",IF(L118&gt;=Settings!$B$4,"Dormant","Active")))))</f>
        <v/>
      </c>
      <c r="Q118" s="22">
        <f>IF(OR(P118="Dormant",P118="Likely dead"),ROUND(100*IFERROR(VLOOKUP(C118,Settings!$D$4:$E$8,2,FALSE),0.3)*MIN(1,N(D118)/Settings!$B$7)*IF(P118="Dormant",1-0.5*(L118-Settings!$B$4)/MAX(1,Settings!$B$5-Settings!$B$4),0.25),0),"")</f>
        <v/>
      </c>
      <c r="R118" s="22">
        <f>IF(P118="Dormant",IF(AND(N(D118)&gt;=Settings!$B$6,N(Q118)&gt;=40),"Re-engage now",IF(N(D118)&gt;=Settings!$B$6,"Investigate, then decide","Low value: batch or close")),IF(P118="Likely dead","Close out or recycle to nurture",IF(P118="Active","Leave: active",IF(P118="Check dates","Add dates",""))))</f>
        <v/>
      </c>
      <c r="S118" s="23">
        <f>IF(OR(R118="Re-engage now",R118="Investigate, then decide"),Q118+ROW()/1000000,"")</f>
        <v/>
      </c>
    </row>
    <row r="119">
      <c r="A119" s="24" t="n"/>
      <c r="B119" s="24" t="n"/>
      <c r="C119" s="24" t="n"/>
      <c r="D119" s="25" t="n"/>
      <c r="E119" s="26" t="n"/>
      <c r="F119" s="26" t="n"/>
      <c r="G119" s="26" t="n"/>
      <c r="H119" s="26" t="n"/>
      <c r="I119" s="26" t="n"/>
      <c r="J119" s="24" t="n"/>
      <c r="K119" s="24" t="n"/>
      <c r="L119" s="22">
        <f>IF(A119="","",IF(AND(F119="",E119=""),"",TODAY()-IF(F119="",E119,F119)))</f>
        <v/>
      </c>
      <c r="M119" s="22">
        <f>IF(OR(A119="",E119=""),"",TODAY()-E119)</f>
        <v/>
      </c>
      <c r="N119" s="22">
        <f>IF(OR(H119="",I119=""),"",I119-H119)</f>
        <v/>
      </c>
      <c r="O119" s="22">
        <f>IF(OR(F119="",G119=""),"",IF(G119-F119&gt;Settings!$B$8,"CRM activity, no buyer contact",""))</f>
        <v/>
      </c>
      <c r="P119" s="22">
        <f>IF(A119="","",IF(OR(C119="Closed won",C119="Closed lost"),"Closed",IF(L119="","Check dates",IF(L119&gt;=Settings!$B$5,"Likely dead",IF(L119&gt;=Settings!$B$4,"Dormant","Active")))))</f>
        <v/>
      </c>
      <c r="Q119" s="22">
        <f>IF(OR(P119="Dormant",P119="Likely dead"),ROUND(100*IFERROR(VLOOKUP(C119,Settings!$D$4:$E$8,2,FALSE),0.3)*MIN(1,N(D119)/Settings!$B$7)*IF(P119="Dormant",1-0.5*(L119-Settings!$B$4)/MAX(1,Settings!$B$5-Settings!$B$4),0.25),0),"")</f>
        <v/>
      </c>
      <c r="R119" s="22">
        <f>IF(P119="Dormant",IF(AND(N(D119)&gt;=Settings!$B$6,N(Q119)&gt;=40),"Re-engage now",IF(N(D119)&gt;=Settings!$B$6,"Investigate, then decide","Low value: batch or close")),IF(P119="Likely dead","Close out or recycle to nurture",IF(P119="Active","Leave: active",IF(P119="Check dates","Add dates",""))))</f>
        <v/>
      </c>
      <c r="S119" s="23">
        <f>IF(OR(R119="Re-engage now",R119="Investigate, then decide"),Q119+ROW()/1000000,"")</f>
        <v/>
      </c>
    </row>
    <row r="120">
      <c r="A120" s="24" t="n"/>
      <c r="B120" s="24" t="n"/>
      <c r="C120" s="24" t="n"/>
      <c r="D120" s="25" t="n"/>
      <c r="E120" s="26" t="n"/>
      <c r="F120" s="26" t="n"/>
      <c r="G120" s="26" t="n"/>
      <c r="H120" s="26" t="n"/>
      <c r="I120" s="26" t="n"/>
      <c r="J120" s="24" t="n"/>
      <c r="K120" s="24" t="n"/>
      <c r="L120" s="22">
        <f>IF(A120="","",IF(AND(F120="",E120=""),"",TODAY()-IF(F120="",E120,F120)))</f>
        <v/>
      </c>
      <c r="M120" s="22">
        <f>IF(OR(A120="",E120=""),"",TODAY()-E120)</f>
        <v/>
      </c>
      <c r="N120" s="22">
        <f>IF(OR(H120="",I120=""),"",I120-H120)</f>
        <v/>
      </c>
      <c r="O120" s="22">
        <f>IF(OR(F120="",G120=""),"",IF(G120-F120&gt;Settings!$B$8,"CRM activity, no buyer contact",""))</f>
        <v/>
      </c>
      <c r="P120" s="22">
        <f>IF(A120="","",IF(OR(C120="Closed won",C120="Closed lost"),"Closed",IF(L120="","Check dates",IF(L120&gt;=Settings!$B$5,"Likely dead",IF(L120&gt;=Settings!$B$4,"Dormant","Active")))))</f>
        <v/>
      </c>
      <c r="Q120" s="22">
        <f>IF(OR(P120="Dormant",P120="Likely dead"),ROUND(100*IFERROR(VLOOKUP(C120,Settings!$D$4:$E$8,2,FALSE),0.3)*MIN(1,N(D120)/Settings!$B$7)*IF(P120="Dormant",1-0.5*(L120-Settings!$B$4)/MAX(1,Settings!$B$5-Settings!$B$4),0.25),0),"")</f>
        <v/>
      </c>
      <c r="R120" s="22">
        <f>IF(P120="Dormant",IF(AND(N(D120)&gt;=Settings!$B$6,N(Q120)&gt;=40),"Re-engage now",IF(N(D120)&gt;=Settings!$B$6,"Investigate, then decide","Low value: batch or close")),IF(P120="Likely dead","Close out or recycle to nurture",IF(P120="Active","Leave: active",IF(P120="Check dates","Add dates",""))))</f>
        <v/>
      </c>
      <c r="S120" s="23">
        <f>IF(OR(R120="Re-engage now",R120="Investigate, then decide"),Q120+ROW()/1000000,"")</f>
        <v/>
      </c>
    </row>
    <row r="121">
      <c r="A121" s="24" t="n"/>
      <c r="B121" s="24" t="n"/>
      <c r="C121" s="24" t="n"/>
      <c r="D121" s="25" t="n"/>
      <c r="E121" s="26" t="n"/>
      <c r="F121" s="26" t="n"/>
      <c r="G121" s="26" t="n"/>
      <c r="H121" s="26" t="n"/>
      <c r="I121" s="26" t="n"/>
      <c r="J121" s="24" t="n"/>
      <c r="K121" s="24" t="n"/>
      <c r="L121" s="22">
        <f>IF(A121="","",IF(AND(F121="",E121=""),"",TODAY()-IF(F121="",E121,F121)))</f>
        <v/>
      </c>
      <c r="M121" s="22">
        <f>IF(OR(A121="",E121=""),"",TODAY()-E121)</f>
        <v/>
      </c>
      <c r="N121" s="22">
        <f>IF(OR(H121="",I121=""),"",I121-H121)</f>
        <v/>
      </c>
      <c r="O121" s="22">
        <f>IF(OR(F121="",G121=""),"",IF(G121-F121&gt;Settings!$B$8,"CRM activity, no buyer contact",""))</f>
        <v/>
      </c>
      <c r="P121" s="22">
        <f>IF(A121="","",IF(OR(C121="Closed won",C121="Closed lost"),"Closed",IF(L121="","Check dates",IF(L121&gt;=Settings!$B$5,"Likely dead",IF(L121&gt;=Settings!$B$4,"Dormant","Active")))))</f>
        <v/>
      </c>
      <c r="Q121" s="22">
        <f>IF(OR(P121="Dormant",P121="Likely dead"),ROUND(100*IFERROR(VLOOKUP(C121,Settings!$D$4:$E$8,2,FALSE),0.3)*MIN(1,N(D121)/Settings!$B$7)*IF(P121="Dormant",1-0.5*(L121-Settings!$B$4)/MAX(1,Settings!$B$5-Settings!$B$4),0.25),0),"")</f>
        <v/>
      </c>
      <c r="R121" s="22">
        <f>IF(P121="Dormant",IF(AND(N(D121)&gt;=Settings!$B$6,N(Q121)&gt;=40),"Re-engage now",IF(N(D121)&gt;=Settings!$B$6,"Investigate, then decide","Low value: batch or close")),IF(P121="Likely dead","Close out or recycle to nurture",IF(P121="Active","Leave: active",IF(P121="Check dates","Add dates",""))))</f>
        <v/>
      </c>
      <c r="S121" s="23">
        <f>IF(OR(R121="Re-engage now",R121="Investigate, then decide"),Q121+ROW()/1000000,"")</f>
        <v/>
      </c>
    </row>
    <row r="122">
      <c r="A122" s="24" t="n"/>
      <c r="B122" s="24" t="n"/>
      <c r="C122" s="24" t="n"/>
      <c r="D122" s="25" t="n"/>
      <c r="E122" s="26" t="n"/>
      <c r="F122" s="26" t="n"/>
      <c r="G122" s="26" t="n"/>
      <c r="H122" s="26" t="n"/>
      <c r="I122" s="26" t="n"/>
      <c r="J122" s="24" t="n"/>
      <c r="K122" s="24" t="n"/>
      <c r="L122" s="22">
        <f>IF(A122="","",IF(AND(F122="",E122=""),"",TODAY()-IF(F122="",E122,F122)))</f>
        <v/>
      </c>
      <c r="M122" s="22">
        <f>IF(OR(A122="",E122=""),"",TODAY()-E122)</f>
        <v/>
      </c>
      <c r="N122" s="22">
        <f>IF(OR(H122="",I122=""),"",I122-H122)</f>
        <v/>
      </c>
      <c r="O122" s="22">
        <f>IF(OR(F122="",G122=""),"",IF(G122-F122&gt;Settings!$B$8,"CRM activity, no buyer contact",""))</f>
        <v/>
      </c>
      <c r="P122" s="22">
        <f>IF(A122="","",IF(OR(C122="Closed won",C122="Closed lost"),"Closed",IF(L122="","Check dates",IF(L122&gt;=Settings!$B$5,"Likely dead",IF(L122&gt;=Settings!$B$4,"Dormant","Active")))))</f>
        <v/>
      </c>
      <c r="Q122" s="22">
        <f>IF(OR(P122="Dormant",P122="Likely dead"),ROUND(100*IFERROR(VLOOKUP(C122,Settings!$D$4:$E$8,2,FALSE),0.3)*MIN(1,N(D122)/Settings!$B$7)*IF(P122="Dormant",1-0.5*(L122-Settings!$B$4)/MAX(1,Settings!$B$5-Settings!$B$4),0.25),0),"")</f>
        <v/>
      </c>
      <c r="R122" s="22">
        <f>IF(P122="Dormant",IF(AND(N(D122)&gt;=Settings!$B$6,N(Q122)&gt;=40),"Re-engage now",IF(N(D122)&gt;=Settings!$B$6,"Investigate, then decide","Low value: batch or close")),IF(P122="Likely dead","Close out or recycle to nurture",IF(P122="Active","Leave: active",IF(P122="Check dates","Add dates",""))))</f>
        <v/>
      </c>
      <c r="S122" s="23">
        <f>IF(OR(R122="Re-engage now",R122="Investigate, then decide"),Q122+ROW()/1000000,"")</f>
        <v/>
      </c>
    </row>
    <row r="123">
      <c r="A123" s="24" t="n"/>
      <c r="B123" s="24" t="n"/>
      <c r="C123" s="24" t="n"/>
      <c r="D123" s="25" t="n"/>
      <c r="E123" s="26" t="n"/>
      <c r="F123" s="26" t="n"/>
      <c r="G123" s="26" t="n"/>
      <c r="H123" s="26" t="n"/>
      <c r="I123" s="26" t="n"/>
      <c r="J123" s="24" t="n"/>
      <c r="K123" s="24" t="n"/>
      <c r="L123" s="22">
        <f>IF(A123="","",IF(AND(F123="",E123=""),"",TODAY()-IF(F123="",E123,F123)))</f>
        <v/>
      </c>
      <c r="M123" s="22">
        <f>IF(OR(A123="",E123=""),"",TODAY()-E123)</f>
        <v/>
      </c>
      <c r="N123" s="22">
        <f>IF(OR(H123="",I123=""),"",I123-H123)</f>
        <v/>
      </c>
      <c r="O123" s="22">
        <f>IF(OR(F123="",G123=""),"",IF(G123-F123&gt;Settings!$B$8,"CRM activity, no buyer contact",""))</f>
        <v/>
      </c>
      <c r="P123" s="22">
        <f>IF(A123="","",IF(OR(C123="Closed won",C123="Closed lost"),"Closed",IF(L123="","Check dates",IF(L123&gt;=Settings!$B$5,"Likely dead",IF(L123&gt;=Settings!$B$4,"Dormant","Active")))))</f>
        <v/>
      </c>
      <c r="Q123" s="22">
        <f>IF(OR(P123="Dormant",P123="Likely dead"),ROUND(100*IFERROR(VLOOKUP(C123,Settings!$D$4:$E$8,2,FALSE),0.3)*MIN(1,N(D123)/Settings!$B$7)*IF(P123="Dormant",1-0.5*(L123-Settings!$B$4)/MAX(1,Settings!$B$5-Settings!$B$4),0.25),0),"")</f>
        <v/>
      </c>
      <c r="R123" s="22">
        <f>IF(P123="Dormant",IF(AND(N(D123)&gt;=Settings!$B$6,N(Q123)&gt;=40),"Re-engage now",IF(N(D123)&gt;=Settings!$B$6,"Investigate, then decide","Low value: batch or close")),IF(P123="Likely dead","Close out or recycle to nurture",IF(P123="Active","Leave: active",IF(P123="Check dates","Add dates",""))))</f>
        <v/>
      </c>
      <c r="S123" s="23">
        <f>IF(OR(R123="Re-engage now",R123="Investigate, then decide"),Q123+ROW()/1000000,"")</f>
        <v/>
      </c>
    </row>
    <row r="124">
      <c r="A124" s="24" t="n"/>
      <c r="B124" s="24" t="n"/>
      <c r="C124" s="24" t="n"/>
      <c r="D124" s="25" t="n"/>
      <c r="E124" s="26" t="n"/>
      <c r="F124" s="26" t="n"/>
      <c r="G124" s="26" t="n"/>
      <c r="H124" s="26" t="n"/>
      <c r="I124" s="26" t="n"/>
      <c r="J124" s="24" t="n"/>
      <c r="K124" s="24" t="n"/>
      <c r="L124" s="22">
        <f>IF(A124="","",IF(AND(F124="",E124=""),"",TODAY()-IF(F124="",E124,F124)))</f>
        <v/>
      </c>
      <c r="M124" s="22">
        <f>IF(OR(A124="",E124=""),"",TODAY()-E124)</f>
        <v/>
      </c>
      <c r="N124" s="22">
        <f>IF(OR(H124="",I124=""),"",I124-H124)</f>
        <v/>
      </c>
      <c r="O124" s="22">
        <f>IF(OR(F124="",G124=""),"",IF(G124-F124&gt;Settings!$B$8,"CRM activity, no buyer contact",""))</f>
        <v/>
      </c>
      <c r="P124" s="22">
        <f>IF(A124="","",IF(OR(C124="Closed won",C124="Closed lost"),"Closed",IF(L124="","Check dates",IF(L124&gt;=Settings!$B$5,"Likely dead",IF(L124&gt;=Settings!$B$4,"Dormant","Active")))))</f>
        <v/>
      </c>
      <c r="Q124" s="22">
        <f>IF(OR(P124="Dormant",P124="Likely dead"),ROUND(100*IFERROR(VLOOKUP(C124,Settings!$D$4:$E$8,2,FALSE),0.3)*MIN(1,N(D124)/Settings!$B$7)*IF(P124="Dormant",1-0.5*(L124-Settings!$B$4)/MAX(1,Settings!$B$5-Settings!$B$4),0.25),0),"")</f>
        <v/>
      </c>
      <c r="R124" s="22">
        <f>IF(P124="Dormant",IF(AND(N(D124)&gt;=Settings!$B$6,N(Q124)&gt;=40),"Re-engage now",IF(N(D124)&gt;=Settings!$B$6,"Investigate, then decide","Low value: batch or close")),IF(P124="Likely dead","Close out or recycle to nurture",IF(P124="Active","Leave: active",IF(P124="Check dates","Add dates",""))))</f>
        <v/>
      </c>
      <c r="S124" s="23">
        <f>IF(OR(R124="Re-engage now",R124="Investigate, then decide"),Q124+ROW()/1000000,"")</f>
        <v/>
      </c>
    </row>
    <row r="125">
      <c r="A125" s="24" t="n"/>
      <c r="B125" s="24" t="n"/>
      <c r="C125" s="24" t="n"/>
      <c r="D125" s="25" t="n"/>
      <c r="E125" s="26" t="n"/>
      <c r="F125" s="26" t="n"/>
      <c r="G125" s="26" t="n"/>
      <c r="H125" s="26" t="n"/>
      <c r="I125" s="26" t="n"/>
      <c r="J125" s="24" t="n"/>
      <c r="K125" s="24" t="n"/>
      <c r="L125" s="22">
        <f>IF(A125="","",IF(AND(F125="",E125=""),"",TODAY()-IF(F125="",E125,F125)))</f>
        <v/>
      </c>
      <c r="M125" s="22">
        <f>IF(OR(A125="",E125=""),"",TODAY()-E125)</f>
        <v/>
      </c>
      <c r="N125" s="22">
        <f>IF(OR(H125="",I125=""),"",I125-H125)</f>
        <v/>
      </c>
      <c r="O125" s="22">
        <f>IF(OR(F125="",G125=""),"",IF(G125-F125&gt;Settings!$B$8,"CRM activity, no buyer contact",""))</f>
        <v/>
      </c>
      <c r="P125" s="22">
        <f>IF(A125="","",IF(OR(C125="Closed won",C125="Closed lost"),"Closed",IF(L125="","Check dates",IF(L125&gt;=Settings!$B$5,"Likely dead",IF(L125&gt;=Settings!$B$4,"Dormant","Active")))))</f>
        <v/>
      </c>
      <c r="Q125" s="22">
        <f>IF(OR(P125="Dormant",P125="Likely dead"),ROUND(100*IFERROR(VLOOKUP(C125,Settings!$D$4:$E$8,2,FALSE),0.3)*MIN(1,N(D125)/Settings!$B$7)*IF(P125="Dormant",1-0.5*(L125-Settings!$B$4)/MAX(1,Settings!$B$5-Settings!$B$4),0.25),0),"")</f>
        <v/>
      </c>
      <c r="R125" s="22">
        <f>IF(P125="Dormant",IF(AND(N(D125)&gt;=Settings!$B$6,N(Q125)&gt;=40),"Re-engage now",IF(N(D125)&gt;=Settings!$B$6,"Investigate, then decide","Low value: batch or close")),IF(P125="Likely dead","Close out or recycle to nurture",IF(P125="Active","Leave: active",IF(P125="Check dates","Add dates",""))))</f>
        <v/>
      </c>
      <c r="S125" s="23">
        <f>IF(OR(R125="Re-engage now",R125="Investigate, then decide"),Q125+ROW()/1000000,"")</f>
        <v/>
      </c>
    </row>
    <row r="126">
      <c r="A126" s="24" t="n"/>
      <c r="B126" s="24" t="n"/>
      <c r="C126" s="24" t="n"/>
      <c r="D126" s="25" t="n"/>
      <c r="E126" s="26" t="n"/>
      <c r="F126" s="26" t="n"/>
      <c r="G126" s="26" t="n"/>
      <c r="H126" s="26" t="n"/>
      <c r="I126" s="26" t="n"/>
      <c r="J126" s="24" t="n"/>
      <c r="K126" s="24" t="n"/>
      <c r="L126" s="22">
        <f>IF(A126="","",IF(AND(F126="",E126=""),"",TODAY()-IF(F126="",E126,F126)))</f>
        <v/>
      </c>
      <c r="M126" s="22">
        <f>IF(OR(A126="",E126=""),"",TODAY()-E126)</f>
        <v/>
      </c>
      <c r="N126" s="22">
        <f>IF(OR(H126="",I126=""),"",I126-H126)</f>
        <v/>
      </c>
      <c r="O126" s="22">
        <f>IF(OR(F126="",G126=""),"",IF(G126-F126&gt;Settings!$B$8,"CRM activity, no buyer contact",""))</f>
        <v/>
      </c>
      <c r="P126" s="22">
        <f>IF(A126="","",IF(OR(C126="Closed won",C126="Closed lost"),"Closed",IF(L126="","Check dates",IF(L126&gt;=Settings!$B$5,"Likely dead",IF(L126&gt;=Settings!$B$4,"Dormant","Active")))))</f>
        <v/>
      </c>
      <c r="Q126" s="22">
        <f>IF(OR(P126="Dormant",P126="Likely dead"),ROUND(100*IFERROR(VLOOKUP(C126,Settings!$D$4:$E$8,2,FALSE),0.3)*MIN(1,N(D126)/Settings!$B$7)*IF(P126="Dormant",1-0.5*(L126-Settings!$B$4)/MAX(1,Settings!$B$5-Settings!$B$4),0.25),0),"")</f>
        <v/>
      </c>
      <c r="R126" s="22">
        <f>IF(P126="Dormant",IF(AND(N(D126)&gt;=Settings!$B$6,N(Q126)&gt;=40),"Re-engage now",IF(N(D126)&gt;=Settings!$B$6,"Investigate, then decide","Low value: batch or close")),IF(P126="Likely dead","Close out or recycle to nurture",IF(P126="Active","Leave: active",IF(P126="Check dates","Add dates",""))))</f>
        <v/>
      </c>
      <c r="S126" s="23">
        <f>IF(OR(R126="Re-engage now",R126="Investigate, then decide"),Q126+ROW()/1000000,"")</f>
        <v/>
      </c>
    </row>
    <row r="127">
      <c r="A127" s="24" t="n"/>
      <c r="B127" s="24" t="n"/>
      <c r="C127" s="24" t="n"/>
      <c r="D127" s="25" t="n"/>
      <c r="E127" s="26" t="n"/>
      <c r="F127" s="26" t="n"/>
      <c r="G127" s="26" t="n"/>
      <c r="H127" s="26" t="n"/>
      <c r="I127" s="26" t="n"/>
      <c r="J127" s="24" t="n"/>
      <c r="K127" s="24" t="n"/>
      <c r="L127" s="22">
        <f>IF(A127="","",IF(AND(F127="",E127=""),"",TODAY()-IF(F127="",E127,F127)))</f>
        <v/>
      </c>
      <c r="M127" s="22">
        <f>IF(OR(A127="",E127=""),"",TODAY()-E127)</f>
        <v/>
      </c>
      <c r="N127" s="22">
        <f>IF(OR(H127="",I127=""),"",I127-H127)</f>
        <v/>
      </c>
      <c r="O127" s="22">
        <f>IF(OR(F127="",G127=""),"",IF(G127-F127&gt;Settings!$B$8,"CRM activity, no buyer contact",""))</f>
        <v/>
      </c>
      <c r="P127" s="22">
        <f>IF(A127="","",IF(OR(C127="Closed won",C127="Closed lost"),"Closed",IF(L127="","Check dates",IF(L127&gt;=Settings!$B$5,"Likely dead",IF(L127&gt;=Settings!$B$4,"Dormant","Active")))))</f>
        <v/>
      </c>
      <c r="Q127" s="22">
        <f>IF(OR(P127="Dormant",P127="Likely dead"),ROUND(100*IFERROR(VLOOKUP(C127,Settings!$D$4:$E$8,2,FALSE),0.3)*MIN(1,N(D127)/Settings!$B$7)*IF(P127="Dormant",1-0.5*(L127-Settings!$B$4)/MAX(1,Settings!$B$5-Settings!$B$4),0.25),0),"")</f>
        <v/>
      </c>
      <c r="R127" s="22">
        <f>IF(P127="Dormant",IF(AND(N(D127)&gt;=Settings!$B$6,N(Q127)&gt;=40),"Re-engage now",IF(N(D127)&gt;=Settings!$B$6,"Investigate, then decide","Low value: batch or close")),IF(P127="Likely dead","Close out or recycle to nurture",IF(P127="Active","Leave: active",IF(P127="Check dates","Add dates",""))))</f>
        <v/>
      </c>
      <c r="S127" s="23">
        <f>IF(OR(R127="Re-engage now",R127="Investigate, then decide"),Q127+ROW()/1000000,"")</f>
        <v/>
      </c>
    </row>
    <row r="128">
      <c r="A128" s="24" t="n"/>
      <c r="B128" s="24" t="n"/>
      <c r="C128" s="24" t="n"/>
      <c r="D128" s="25" t="n"/>
      <c r="E128" s="26" t="n"/>
      <c r="F128" s="26" t="n"/>
      <c r="G128" s="26" t="n"/>
      <c r="H128" s="26" t="n"/>
      <c r="I128" s="26" t="n"/>
      <c r="J128" s="24" t="n"/>
      <c r="K128" s="24" t="n"/>
      <c r="L128" s="22">
        <f>IF(A128="","",IF(AND(F128="",E128=""),"",TODAY()-IF(F128="",E128,F128)))</f>
        <v/>
      </c>
      <c r="M128" s="22">
        <f>IF(OR(A128="",E128=""),"",TODAY()-E128)</f>
        <v/>
      </c>
      <c r="N128" s="22">
        <f>IF(OR(H128="",I128=""),"",I128-H128)</f>
        <v/>
      </c>
      <c r="O128" s="22">
        <f>IF(OR(F128="",G128=""),"",IF(G128-F128&gt;Settings!$B$8,"CRM activity, no buyer contact",""))</f>
        <v/>
      </c>
      <c r="P128" s="22">
        <f>IF(A128="","",IF(OR(C128="Closed won",C128="Closed lost"),"Closed",IF(L128="","Check dates",IF(L128&gt;=Settings!$B$5,"Likely dead",IF(L128&gt;=Settings!$B$4,"Dormant","Active")))))</f>
        <v/>
      </c>
      <c r="Q128" s="22">
        <f>IF(OR(P128="Dormant",P128="Likely dead"),ROUND(100*IFERROR(VLOOKUP(C128,Settings!$D$4:$E$8,2,FALSE),0.3)*MIN(1,N(D128)/Settings!$B$7)*IF(P128="Dormant",1-0.5*(L128-Settings!$B$4)/MAX(1,Settings!$B$5-Settings!$B$4),0.25),0),"")</f>
        <v/>
      </c>
      <c r="R128" s="22">
        <f>IF(P128="Dormant",IF(AND(N(D128)&gt;=Settings!$B$6,N(Q128)&gt;=40),"Re-engage now",IF(N(D128)&gt;=Settings!$B$6,"Investigate, then decide","Low value: batch or close")),IF(P128="Likely dead","Close out or recycle to nurture",IF(P128="Active","Leave: active",IF(P128="Check dates","Add dates",""))))</f>
        <v/>
      </c>
      <c r="S128" s="23">
        <f>IF(OR(R128="Re-engage now",R128="Investigate, then decide"),Q128+ROW()/1000000,"")</f>
        <v/>
      </c>
    </row>
    <row r="129">
      <c r="A129" s="24" t="n"/>
      <c r="B129" s="24" t="n"/>
      <c r="C129" s="24" t="n"/>
      <c r="D129" s="25" t="n"/>
      <c r="E129" s="26" t="n"/>
      <c r="F129" s="26" t="n"/>
      <c r="G129" s="26" t="n"/>
      <c r="H129" s="26" t="n"/>
      <c r="I129" s="26" t="n"/>
      <c r="J129" s="24" t="n"/>
      <c r="K129" s="24" t="n"/>
      <c r="L129" s="22">
        <f>IF(A129="","",IF(AND(F129="",E129=""),"",TODAY()-IF(F129="",E129,F129)))</f>
        <v/>
      </c>
      <c r="M129" s="22">
        <f>IF(OR(A129="",E129=""),"",TODAY()-E129)</f>
        <v/>
      </c>
      <c r="N129" s="22">
        <f>IF(OR(H129="",I129=""),"",I129-H129)</f>
        <v/>
      </c>
      <c r="O129" s="22">
        <f>IF(OR(F129="",G129=""),"",IF(G129-F129&gt;Settings!$B$8,"CRM activity, no buyer contact",""))</f>
        <v/>
      </c>
      <c r="P129" s="22">
        <f>IF(A129="","",IF(OR(C129="Closed won",C129="Closed lost"),"Closed",IF(L129="","Check dates",IF(L129&gt;=Settings!$B$5,"Likely dead",IF(L129&gt;=Settings!$B$4,"Dormant","Active")))))</f>
        <v/>
      </c>
      <c r="Q129" s="22">
        <f>IF(OR(P129="Dormant",P129="Likely dead"),ROUND(100*IFERROR(VLOOKUP(C129,Settings!$D$4:$E$8,2,FALSE),0.3)*MIN(1,N(D129)/Settings!$B$7)*IF(P129="Dormant",1-0.5*(L129-Settings!$B$4)/MAX(1,Settings!$B$5-Settings!$B$4),0.25),0),"")</f>
        <v/>
      </c>
      <c r="R129" s="22">
        <f>IF(P129="Dormant",IF(AND(N(D129)&gt;=Settings!$B$6,N(Q129)&gt;=40),"Re-engage now",IF(N(D129)&gt;=Settings!$B$6,"Investigate, then decide","Low value: batch or close")),IF(P129="Likely dead","Close out or recycle to nurture",IF(P129="Active","Leave: active",IF(P129="Check dates","Add dates",""))))</f>
        <v/>
      </c>
      <c r="S129" s="23">
        <f>IF(OR(R129="Re-engage now",R129="Investigate, then decide"),Q129+ROW()/1000000,"")</f>
        <v/>
      </c>
    </row>
    <row r="130">
      <c r="A130" s="24" t="n"/>
      <c r="B130" s="24" t="n"/>
      <c r="C130" s="24" t="n"/>
      <c r="D130" s="25" t="n"/>
      <c r="E130" s="26" t="n"/>
      <c r="F130" s="26" t="n"/>
      <c r="G130" s="26" t="n"/>
      <c r="H130" s="26" t="n"/>
      <c r="I130" s="26" t="n"/>
      <c r="J130" s="24" t="n"/>
      <c r="K130" s="24" t="n"/>
      <c r="L130" s="22">
        <f>IF(A130="","",IF(AND(F130="",E130=""),"",TODAY()-IF(F130="",E130,F130)))</f>
        <v/>
      </c>
      <c r="M130" s="22">
        <f>IF(OR(A130="",E130=""),"",TODAY()-E130)</f>
        <v/>
      </c>
      <c r="N130" s="22">
        <f>IF(OR(H130="",I130=""),"",I130-H130)</f>
        <v/>
      </c>
      <c r="O130" s="22">
        <f>IF(OR(F130="",G130=""),"",IF(G130-F130&gt;Settings!$B$8,"CRM activity, no buyer contact",""))</f>
        <v/>
      </c>
      <c r="P130" s="22">
        <f>IF(A130="","",IF(OR(C130="Closed won",C130="Closed lost"),"Closed",IF(L130="","Check dates",IF(L130&gt;=Settings!$B$5,"Likely dead",IF(L130&gt;=Settings!$B$4,"Dormant","Active")))))</f>
        <v/>
      </c>
      <c r="Q130" s="22">
        <f>IF(OR(P130="Dormant",P130="Likely dead"),ROUND(100*IFERROR(VLOOKUP(C130,Settings!$D$4:$E$8,2,FALSE),0.3)*MIN(1,N(D130)/Settings!$B$7)*IF(P130="Dormant",1-0.5*(L130-Settings!$B$4)/MAX(1,Settings!$B$5-Settings!$B$4),0.25),0),"")</f>
        <v/>
      </c>
      <c r="R130" s="22">
        <f>IF(P130="Dormant",IF(AND(N(D130)&gt;=Settings!$B$6,N(Q130)&gt;=40),"Re-engage now",IF(N(D130)&gt;=Settings!$B$6,"Investigate, then decide","Low value: batch or close")),IF(P130="Likely dead","Close out or recycle to nurture",IF(P130="Active","Leave: active",IF(P130="Check dates","Add dates",""))))</f>
        <v/>
      </c>
      <c r="S130" s="23">
        <f>IF(OR(R130="Re-engage now",R130="Investigate, then decide"),Q130+ROW()/1000000,"")</f>
        <v/>
      </c>
    </row>
    <row r="131">
      <c r="A131" s="24" t="n"/>
      <c r="B131" s="24" t="n"/>
      <c r="C131" s="24" t="n"/>
      <c r="D131" s="25" t="n"/>
      <c r="E131" s="26" t="n"/>
      <c r="F131" s="26" t="n"/>
      <c r="G131" s="26" t="n"/>
      <c r="H131" s="26" t="n"/>
      <c r="I131" s="26" t="n"/>
      <c r="J131" s="24" t="n"/>
      <c r="K131" s="24" t="n"/>
      <c r="L131" s="22">
        <f>IF(A131="","",IF(AND(F131="",E131=""),"",TODAY()-IF(F131="",E131,F131)))</f>
        <v/>
      </c>
      <c r="M131" s="22">
        <f>IF(OR(A131="",E131=""),"",TODAY()-E131)</f>
        <v/>
      </c>
      <c r="N131" s="22">
        <f>IF(OR(H131="",I131=""),"",I131-H131)</f>
        <v/>
      </c>
      <c r="O131" s="22">
        <f>IF(OR(F131="",G131=""),"",IF(G131-F131&gt;Settings!$B$8,"CRM activity, no buyer contact",""))</f>
        <v/>
      </c>
      <c r="P131" s="22">
        <f>IF(A131="","",IF(OR(C131="Closed won",C131="Closed lost"),"Closed",IF(L131="","Check dates",IF(L131&gt;=Settings!$B$5,"Likely dead",IF(L131&gt;=Settings!$B$4,"Dormant","Active")))))</f>
        <v/>
      </c>
      <c r="Q131" s="22">
        <f>IF(OR(P131="Dormant",P131="Likely dead"),ROUND(100*IFERROR(VLOOKUP(C131,Settings!$D$4:$E$8,2,FALSE),0.3)*MIN(1,N(D131)/Settings!$B$7)*IF(P131="Dormant",1-0.5*(L131-Settings!$B$4)/MAX(1,Settings!$B$5-Settings!$B$4),0.25),0),"")</f>
        <v/>
      </c>
      <c r="R131" s="22">
        <f>IF(P131="Dormant",IF(AND(N(D131)&gt;=Settings!$B$6,N(Q131)&gt;=40),"Re-engage now",IF(N(D131)&gt;=Settings!$B$6,"Investigate, then decide","Low value: batch or close")),IF(P131="Likely dead","Close out or recycle to nurture",IF(P131="Active","Leave: active",IF(P131="Check dates","Add dates",""))))</f>
        <v/>
      </c>
      <c r="S131" s="23">
        <f>IF(OR(R131="Re-engage now",R131="Investigate, then decide"),Q131+ROW()/1000000,"")</f>
        <v/>
      </c>
    </row>
    <row r="132">
      <c r="A132" s="24" t="n"/>
      <c r="B132" s="24" t="n"/>
      <c r="C132" s="24" t="n"/>
      <c r="D132" s="25" t="n"/>
      <c r="E132" s="26" t="n"/>
      <c r="F132" s="26" t="n"/>
      <c r="G132" s="26" t="n"/>
      <c r="H132" s="26" t="n"/>
      <c r="I132" s="26" t="n"/>
      <c r="J132" s="24" t="n"/>
      <c r="K132" s="24" t="n"/>
      <c r="L132" s="22">
        <f>IF(A132="","",IF(AND(F132="",E132=""),"",TODAY()-IF(F132="",E132,F132)))</f>
        <v/>
      </c>
      <c r="M132" s="22">
        <f>IF(OR(A132="",E132=""),"",TODAY()-E132)</f>
        <v/>
      </c>
      <c r="N132" s="22">
        <f>IF(OR(H132="",I132=""),"",I132-H132)</f>
        <v/>
      </c>
      <c r="O132" s="22">
        <f>IF(OR(F132="",G132=""),"",IF(G132-F132&gt;Settings!$B$8,"CRM activity, no buyer contact",""))</f>
        <v/>
      </c>
      <c r="P132" s="22">
        <f>IF(A132="","",IF(OR(C132="Closed won",C132="Closed lost"),"Closed",IF(L132="","Check dates",IF(L132&gt;=Settings!$B$5,"Likely dead",IF(L132&gt;=Settings!$B$4,"Dormant","Active")))))</f>
        <v/>
      </c>
      <c r="Q132" s="22">
        <f>IF(OR(P132="Dormant",P132="Likely dead"),ROUND(100*IFERROR(VLOOKUP(C132,Settings!$D$4:$E$8,2,FALSE),0.3)*MIN(1,N(D132)/Settings!$B$7)*IF(P132="Dormant",1-0.5*(L132-Settings!$B$4)/MAX(1,Settings!$B$5-Settings!$B$4),0.25),0),"")</f>
        <v/>
      </c>
      <c r="R132" s="22">
        <f>IF(P132="Dormant",IF(AND(N(D132)&gt;=Settings!$B$6,N(Q132)&gt;=40),"Re-engage now",IF(N(D132)&gt;=Settings!$B$6,"Investigate, then decide","Low value: batch or close")),IF(P132="Likely dead","Close out or recycle to nurture",IF(P132="Active","Leave: active",IF(P132="Check dates","Add dates",""))))</f>
        <v/>
      </c>
      <c r="S132" s="23">
        <f>IF(OR(R132="Re-engage now",R132="Investigate, then decide"),Q132+ROW()/1000000,"")</f>
        <v/>
      </c>
    </row>
    <row r="133">
      <c r="A133" s="24" t="n"/>
      <c r="B133" s="24" t="n"/>
      <c r="C133" s="24" t="n"/>
      <c r="D133" s="25" t="n"/>
      <c r="E133" s="26" t="n"/>
      <c r="F133" s="26" t="n"/>
      <c r="G133" s="26" t="n"/>
      <c r="H133" s="26" t="n"/>
      <c r="I133" s="26" t="n"/>
      <c r="J133" s="24" t="n"/>
      <c r="K133" s="24" t="n"/>
      <c r="L133" s="22">
        <f>IF(A133="","",IF(AND(F133="",E133=""),"",TODAY()-IF(F133="",E133,F133)))</f>
        <v/>
      </c>
      <c r="M133" s="22">
        <f>IF(OR(A133="",E133=""),"",TODAY()-E133)</f>
        <v/>
      </c>
      <c r="N133" s="22">
        <f>IF(OR(H133="",I133=""),"",I133-H133)</f>
        <v/>
      </c>
      <c r="O133" s="22">
        <f>IF(OR(F133="",G133=""),"",IF(G133-F133&gt;Settings!$B$8,"CRM activity, no buyer contact",""))</f>
        <v/>
      </c>
      <c r="P133" s="22">
        <f>IF(A133="","",IF(OR(C133="Closed won",C133="Closed lost"),"Closed",IF(L133="","Check dates",IF(L133&gt;=Settings!$B$5,"Likely dead",IF(L133&gt;=Settings!$B$4,"Dormant","Active")))))</f>
        <v/>
      </c>
      <c r="Q133" s="22">
        <f>IF(OR(P133="Dormant",P133="Likely dead"),ROUND(100*IFERROR(VLOOKUP(C133,Settings!$D$4:$E$8,2,FALSE),0.3)*MIN(1,N(D133)/Settings!$B$7)*IF(P133="Dormant",1-0.5*(L133-Settings!$B$4)/MAX(1,Settings!$B$5-Settings!$B$4),0.25),0),"")</f>
        <v/>
      </c>
      <c r="R133" s="22">
        <f>IF(P133="Dormant",IF(AND(N(D133)&gt;=Settings!$B$6,N(Q133)&gt;=40),"Re-engage now",IF(N(D133)&gt;=Settings!$B$6,"Investigate, then decide","Low value: batch or close")),IF(P133="Likely dead","Close out or recycle to nurture",IF(P133="Active","Leave: active",IF(P133="Check dates","Add dates",""))))</f>
        <v/>
      </c>
      <c r="S133" s="23">
        <f>IF(OR(R133="Re-engage now",R133="Investigate, then decide"),Q133+ROW()/1000000,"")</f>
        <v/>
      </c>
    </row>
    <row r="134">
      <c r="A134" s="24" t="n"/>
      <c r="B134" s="24" t="n"/>
      <c r="C134" s="24" t="n"/>
      <c r="D134" s="25" t="n"/>
      <c r="E134" s="26" t="n"/>
      <c r="F134" s="26" t="n"/>
      <c r="G134" s="26" t="n"/>
      <c r="H134" s="26" t="n"/>
      <c r="I134" s="26" t="n"/>
      <c r="J134" s="24" t="n"/>
      <c r="K134" s="24" t="n"/>
      <c r="L134" s="22">
        <f>IF(A134="","",IF(AND(F134="",E134=""),"",TODAY()-IF(F134="",E134,F134)))</f>
        <v/>
      </c>
      <c r="M134" s="22">
        <f>IF(OR(A134="",E134=""),"",TODAY()-E134)</f>
        <v/>
      </c>
      <c r="N134" s="22">
        <f>IF(OR(H134="",I134=""),"",I134-H134)</f>
        <v/>
      </c>
      <c r="O134" s="22">
        <f>IF(OR(F134="",G134=""),"",IF(G134-F134&gt;Settings!$B$8,"CRM activity, no buyer contact",""))</f>
        <v/>
      </c>
      <c r="P134" s="22">
        <f>IF(A134="","",IF(OR(C134="Closed won",C134="Closed lost"),"Closed",IF(L134="","Check dates",IF(L134&gt;=Settings!$B$5,"Likely dead",IF(L134&gt;=Settings!$B$4,"Dormant","Active")))))</f>
        <v/>
      </c>
      <c r="Q134" s="22">
        <f>IF(OR(P134="Dormant",P134="Likely dead"),ROUND(100*IFERROR(VLOOKUP(C134,Settings!$D$4:$E$8,2,FALSE),0.3)*MIN(1,N(D134)/Settings!$B$7)*IF(P134="Dormant",1-0.5*(L134-Settings!$B$4)/MAX(1,Settings!$B$5-Settings!$B$4),0.25),0),"")</f>
        <v/>
      </c>
      <c r="R134" s="22">
        <f>IF(P134="Dormant",IF(AND(N(D134)&gt;=Settings!$B$6,N(Q134)&gt;=40),"Re-engage now",IF(N(D134)&gt;=Settings!$B$6,"Investigate, then decide","Low value: batch or close")),IF(P134="Likely dead","Close out or recycle to nurture",IF(P134="Active","Leave: active",IF(P134="Check dates","Add dates",""))))</f>
        <v/>
      </c>
      <c r="S134" s="23">
        <f>IF(OR(R134="Re-engage now",R134="Investigate, then decide"),Q134+ROW()/1000000,"")</f>
        <v/>
      </c>
    </row>
    <row r="135">
      <c r="A135" s="24" t="n"/>
      <c r="B135" s="24" t="n"/>
      <c r="C135" s="24" t="n"/>
      <c r="D135" s="25" t="n"/>
      <c r="E135" s="26" t="n"/>
      <c r="F135" s="26" t="n"/>
      <c r="G135" s="26" t="n"/>
      <c r="H135" s="26" t="n"/>
      <c r="I135" s="26" t="n"/>
      <c r="J135" s="24" t="n"/>
      <c r="K135" s="24" t="n"/>
      <c r="L135" s="22">
        <f>IF(A135="","",IF(AND(F135="",E135=""),"",TODAY()-IF(F135="",E135,F135)))</f>
        <v/>
      </c>
      <c r="M135" s="22">
        <f>IF(OR(A135="",E135=""),"",TODAY()-E135)</f>
        <v/>
      </c>
      <c r="N135" s="22">
        <f>IF(OR(H135="",I135=""),"",I135-H135)</f>
        <v/>
      </c>
      <c r="O135" s="22">
        <f>IF(OR(F135="",G135=""),"",IF(G135-F135&gt;Settings!$B$8,"CRM activity, no buyer contact",""))</f>
        <v/>
      </c>
      <c r="P135" s="22">
        <f>IF(A135="","",IF(OR(C135="Closed won",C135="Closed lost"),"Closed",IF(L135="","Check dates",IF(L135&gt;=Settings!$B$5,"Likely dead",IF(L135&gt;=Settings!$B$4,"Dormant","Active")))))</f>
        <v/>
      </c>
      <c r="Q135" s="22">
        <f>IF(OR(P135="Dormant",P135="Likely dead"),ROUND(100*IFERROR(VLOOKUP(C135,Settings!$D$4:$E$8,2,FALSE),0.3)*MIN(1,N(D135)/Settings!$B$7)*IF(P135="Dormant",1-0.5*(L135-Settings!$B$4)/MAX(1,Settings!$B$5-Settings!$B$4),0.25),0),"")</f>
        <v/>
      </c>
      <c r="R135" s="22">
        <f>IF(P135="Dormant",IF(AND(N(D135)&gt;=Settings!$B$6,N(Q135)&gt;=40),"Re-engage now",IF(N(D135)&gt;=Settings!$B$6,"Investigate, then decide","Low value: batch or close")),IF(P135="Likely dead","Close out or recycle to nurture",IF(P135="Active","Leave: active",IF(P135="Check dates","Add dates",""))))</f>
        <v/>
      </c>
      <c r="S135" s="23">
        <f>IF(OR(R135="Re-engage now",R135="Investigate, then decide"),Q135+ROW()/1000000,"")</f>
        <v/>
      </c>
    </row>
    <row r="136">
      <c r="A136" s="24" t="n"/>
      <c r="B136" s="24" t="n"/>
      <c r="C136" s="24" t="n"/>
      <c r="D136" s="25" t="n"/>
      <c r="E136" s="26" t="n"/>
      <c r="F136" s="26" t="n"/>
      <c r="G136" s="26" t="n"/>
      <c r="H136" s="26" t="n"/>
      <c r="I136" s="26" t="n"/>
      <c r="J136" s="24" t="n"/>
      <c r="K136" s="24" t="n"/>
      <c r="L136" s="22">
        <f>IF(A136="","",IF(AND(F136="",E136=""),"",TODAY()-IF(F136="",E136,F136)))</f>
        <v/>
      </c>
      <c r="M136" s="22">
        <f>IF(OR(A136="",E136=""),"",TODAY()-E136)</f>
        <v/>
      </c>
      <c r="N136" s="22">
        <f>IF(OR(H136="",I136=""),"",I136-H136)</f>
        <v/>
      </c>
      <c r="O136" s="22">
        <f>IF(OR(F136="",G136=""),"",IF(G136-F136&gt;Settings!$B$8,"CRM activity, no buyer contact",""))</f>
        <v/>
      </c>
      <c r="P136" s="22">
        <f>IF(A136="","",IF(OR(C136="Closed won",C136="Closed lost"),"Closed",IF(L136="","Check dates",IF(L136&gt;=Settings!$B$5,"Likely dead",IF(L136&gt;=Settings!$B$4,"Dormant","Active")))))</f>
        <v/>
      </c>
      <c r="Q136" s="22">
        <f>IF(OR(P136="Dormant",P136="Likely dead"),ROUND(100*IFERROR(VLOOKUP(C136,Settings!$D$4:$E$8,2,FALSE),0.3)*MIN(1,N(D136)/Settings!$B$7)*IF(P136="Dormant",1-0.5*(L136-Settings!$B$4)/MAX(1,Settings!$B$5-Settings!$B$4),0.25),0),"")</f>
        <v/>
      </c>
      <c r="R136" s="22">
        <f>IF(P136="Dormant",IF(AND(N(D136)&gt;=Settings!$B$6,N(Q136)&gt;=40),"Re-engage now",IF(N(D136)&gt;=Settings!$B$6,"Investigate, then decide","Low value: batch or close")),IF(P136="Likely dead","Close out or recycle to nurture",IF(P136="Active","Leave: active",IF(P136="Check dates","Add dates",""))))</f>
        <v/>
      </c>
      <c r="S136" s="23">
        <f>IF(OR(R136="Re-engage now",R136="Investigate, then decide"),Q136+ROW()/1000000,"")</f>
        <v/>
      </c>
    </row>
    <row r="137">
      <c r="A137" s="24" t="n"/>
      <c r="B137" s="24" t="n"/>
      <c r="C137" s="24" t="n"/>
      <c r="D137" s="25" t="n"/>
      <c r="E137" s="26" t="n"/>
      <c r="F137" s="26" t="n"/>
      <c r="G137" s="26" t="n"/>
      <c r="H137" s="26" t="n"/>
      <c r="I137" s="26" t="n"/>
      <c r="J137" s="24" t="n"/>
      <c r="K137" s="24" t="n"/>
      <c r="L137" s="22">
        <f>IF(A137="","",IF(AND(F137="",E137=""),"",TODAY()-IF(F137="",E137,F137)))</f>
        <v/>
      </c>
      <c r="M137" s="22">
        <f>IF(OR(A137="",E137=""),"",TODAY()-E137)</f>
        <v/>
      </c>
      <c r="N137" s="22">
        <f>IF(OR(H137="",I137=""),"",I137-H137)</f>
        <v/>
      </c>
      <c r="O137" s="22">
        <f>IF(OR(F137="",G137=""),"",IF(G137-F137&gt;Settings!$B$8,"CRM activity, no buyer contact",""))</f>
        <v/>
      </c>
      <c r="P137" s="22">
        <f>IF(A137="","",IF(OR(C137="Closed won",C137="Closed lost"),"Closed",IF(L137="","Check dates",IF(L137&gt;=Settings!$B$5,"Likely dead",IF(L137&gt;=Settings!$B$4,"Dormant","Active")))))</f>
        <v/>
      </c>
      <c r="Q137" s="22">
        <f>IF(OR(P137="Dormant",P137="Likely dead"),ROUND(100*IFERROR(VLOOKUP(C137,Settings!$D$4:$E$8,2,FALSE),0.3)*MIN(1,N(D137)/Settings!$B$7)*IF(P137="Dormant",1-0.5*(L137-Settings!$B$4)/MAX(1,Settings!$B$5-Settings!$B$4),0.25),0),"")</f>
        <v/>
      </c>
      <c r="R137" s="22">
        <f>IF(P137="Dormant",IF(AND(N(D137)&gt;=Settings!$B$6,N(Q137)&gt;=40),"Re-engage now",IF(N(D137)&gt;=Settings!$B$6,"Investigate, then decide","Low value: batch or close")),IF(P137="Likely dead","Close out or recycle to nurture",IF(P137="Active","Leave: active",IF(P137="Check dates","Add dates",""))))</f>
        <v/>
      </c>
      <c r="S137" s="23">
        <f>IF(OR(R137="Re-engage now",R137="Investigate, then decide"),Q137+ROW()/1000000,"")</f>
        <v/>
      </c>
    </row>
    <row r="138">
      <c r="A138" s="24" t="n"/>
      <c r="B138" s="24" t="n"/>
      <c r="C138" s="24" t="n"/>
      <c r="D138" s="25" t="n"/>
      <c r="E138" s="26" t="n"/>
      <c r="F138" s="26" t="n"/>
      <c r="G138" s="26" t="n"/>
      <c r="H138" s="26" t="n"/>
      <c r="I138" s="26" t="n"/>
      <c r="J138" s="24" t="n"/>
      <c r="K138" s="24" t="n"/>
      <c r="L138" s="22">
        <f>IF(A138="","",IF(AND(F138="",E138=""),"",TODAY()-IF(F138="",E138,F138)))</f>
        <v/>
      </c>
      <c r="M138" s="22">
        <f>IF(OR(A138="",E138=""),"",TODAY()-E138)</f>
        <v/>
      </c>
      <c r="N138" s="22">
        <f>IF(OR(H138="",I138=""),"",I138-H138)</f>
        <v/>
      </c>
      <c r="O138" s="22">
        <f>IF(OR(F138="",G138=""),"",IF(G138-F138&gt;Settings!$B$8,"CRM activity, no buyer contact",""))</f>
        <v/>
      </c>
      <c r="P138" s="22">
        <f>IF(A138="","",IF(OR(C138="Closed won",C138="Closed lost"),"Closed",IF(L138="","Check dates",IF(L138&gt;=Settings!$B$5,"Likely dead",IF(L138&gt;=Settings!$B$4,"Dormant","Active")))))</f>
        <v/>
      </c>
      <c r="Q138" s="22">
        <f>IF(OR(P138="Dormant",P138="Likely dead"),ROUND(100*IFERROR(VLOOKUP(C138,Settings!$D$4:$E$8,2,FALSE),0.3)*MIN(1,N(D138)/Settings!$B$7)*IF(P138="Dormant",1-0.5*(L138-Settings!$B$4)/MAX(1,Settings!$B$5-Settings!$B$4),0.25),0),"")</f>
        <v/>
      </c>
      <c r="R138" s="22">
        <f>IF(P138="Dormant",IF(AND(N(D138)&gt;=Settings!$B$6,N(Q138)&gt;=40),"Re-engage now",IF(N(D138)&gt;=Settings!$B$6,"Investigate, then decide","Low value: batch or close")),IF(P138="Likely dead","Close out or recycle to nurture",IF(P138="Active","Leave: active",IF(P138="Check dates","Add dates",""))))</f>
        <v/>
      </c>
      <c r="S138" s="23">
        <f>IF(OR(R138="Re-engage now",R138="Investigate, then decide"),Q138+ROW()/1000000,"")</f>
        <v/>
      </c>
    </row>
    <row r="139">
      <c r="A139" s="24" t="n"/>
      <c r="B139" s="24" t="n"/>
      <c r="C139" s="24" t="n"/>
      <c r="D139" s="25" t="n"/>
      <c r="E139" s="26" t="n"/>
      <c r="F139" s="26" t="n"/>
      <c r="G139" s="26" t="n"/>
      <c r="H139" s="26" t="n"/>
      <c r="I139" s="26" t="n"/>
      <c r="J139" s="24" t="n"/>
      <c r="K139" s="24" t="n"/>
      <c r="L139" s="22">
        <f>IF(A139="","",IF(AND(F139="",E139=""),"",TODAY()-IF(F139="",E139,F139)))</f>
        <v/>
      </c>
      <c r="M139" s="22">
        <f>IF(OR(A139="",E139=""),"",TODAY()-E139)</f>
        <v/>
      </c>
      <c r="N139" s="22">
        <f>IF(OR(H139="",I139=""),"",I139-H139)</f>
        <v/>
      </c>
      <c r="O139" s="22">
        <f>IF(OR(F139="",G139=""),"",IF(G139-F139&gt;Settings!$B$8,"CRM activity, no buyer contact",""))</f>
        <v/>
      </c>
      <c r="P139" s="22">
        <f>IF(A139="","",IF(OR(C139="Closed won",C139="Closed lost"),"Closed",IF(L139="","Check dates",IF(L139&gt;=Settings!$B$5,"Likely dead",IF(L139&gt;=Settings!$B$4,"Dormant","Active")))))</f>
        <v/>
      </c>
      <c r="Q139" s="22">
        <f>IF(OR(P139="Dormant",P139="Likely dead"),ROUND(100*IFERROR(VLOOKUP(C139,Settings!$D$4:$E$8,2,FALSE),0.3)*MIN(1,N(D139)/Settings!$B$7)*IF(P139="Dormant",1-0.5*(L139-Settings!$B$4)/MAX(1,Settings!$B$5-Settings!$B$4),0.25),0),"")</f>
        <v/>
      </c>
      <c r="R139" s="22">
        <f>IF(P139="Dormant",IF(AND(N(D139)&gt;=Settings!$B$6,N(Q139)&gt;=40),"Re-engage now",IF(N(D139)&gt;=Settings!$B$6,"Investigate, then decide","Low value: batch or close")),IF(P139="Likely dead","Close out or recycle to nurture",IF(P139="Active","Leave: active",IF(P139="Check dates","Add dates",""))))</f>
        <v/>
      </c>
      <c r="S139" s="23">
        <f>IF(OR(R139="Re-engage now",R139="Investigate, then decide"),Q139+ROW()/1000000,"")</f>
        <v/>
      </c>
    </row>
    <row r="140">
      <c r="A140" s="24" t="n"/>
      <c r="B140" s="24" t="n"/>
      <c r="C140" s="24" t="n"/>
      <c r="D140" s="25" t="n"/>
      <c r="E140" s="26" t="n"/>
      <c r="F140" s="26" t="n"/>
      <c r="G140" s="26" t="n"/>
      <c r="H140" s="26" t="n"/>
      <c r="I140" s="26" t="n"/>
      <c r="J140" s="24" t="n"/>
      <c r="K140" s="24" t="n"/>
      <c r="L140" s="22">
        <f>IF(A140="","",IF(AND(F140="",E140=""),"",TODAY()-IF(F140="",E140,F140)))</f>
        <v/>
      </c>
      <c r="M140" s="22">
        <f>IF(OR(A140="",E140=""),"",TODAY()-E140)</f>
        <v/>
      </c>
      <c r="N140" s="22">
        <f>IF(OR(H140="",I140=""),"",I140-H140)</f>
        <v/>
      </c>
      <c r="O140" s="22">
        <f>IF(OR(F140="",G140=""),"",IF(G140-F140&gt;Settings!$B$8,"CRM activity, no buyer contact",""))</f>
        <v/>
      </c>
      <c r="P140" s="22">
        <f>IF(A140="","",IF(OR(C140="Closed won",C140="Closed lost"),"Closed",IF(L140="","Check dates",IF(L140&gt;=Settings!$B$5,"Likely dead",IF(L140&gt;=Settings!$B$4,"Dormant","Active")))))</f>
        <v/>
      </c>
      <c r="Q140" s="22">
        <f>IF(OR(P140="Dormant",P140="Likely dead"),ROUND(100*IFERROR(VLOOKUP(C140,Settings!$D$4:$E$8,2,FALSE),0.3)*MIN(1,N(D140)/Settings!$B$7)*IF(P140="Dormant",1-0.5*(L140-Settings!$B$4)/MAX(1,Settings!$B$5-Settings!$B$4),0.25),0),"")</f>
        <v/>
      </c>
      <c r="R140" s="22">
        <f>IF(P140="Dormant",IF(AND(N(D140)&gt;=Settings!$B$6,N(Q140)&gt;=40),"Re-engage now",IF(N(D140)&gt;=Settings!$B$6,"Investigate, then decide","Low value: batch or close")),IF(P140="Likely dead","Close out or recycle to nurture",IF(P140="Active","Leave: active",IF(P140="Check dates","Add dates",""))))</f>
        <v/>
      </c>
      <c r="S140" s="23">
        <f>IF(OR(R140="Re-engage now",R140="Investigate, then decide"),Q140+ROW()/1000000,"")</f>
        <v/>
      </c>
    </row>
    <row r="141">
      <c r="A141" s="24" t="n"/>
      <c r="B141" s="24" t="n"/>
      <c r="C141" s="24" t="n"/>
      <c r="D141" s="25" t="n"/>
      <c r="E141" s="26" t="n"/>
      <c r="F141" s="26" t="n"/>
      <c r="G141" s="26" t="n"/>
      <c r="H141" s="26" t="n"/>
      <c r="I141" s="26" t="n"/>
      <c r="J141" s="24" t="n"/>
      <c r="K141" s="24" t="n"/>
      <c r="L141" s="22">
        <f>IF(A141="","",IF(AND(F141="",E141=""),"",TODAY()-IF(F141="",E141,F141)))</f>
        <v/>
      </c>
      <c r="M141" s="22">
        <f>IF(OR(A141="",E141=""),"",TODAY()-E141)</f>
        <v/>
      </c>
      <c r="N141" s="22">
        <f>IF(OR(H141="",I141=""),"",I141-H141)</f>
        <v/>
      </c>
      <c r="O141" s="22">
        <f>IF(OR(F141="",G141=""),"",IF(G141-F141&gt;Settings!$B$8,"CRM activity, no buyer contact",""))</f>
        <v/>
      </c>
      <c r="P141" s="22">
        <f>IF(A141="","",IF(OR(C141="Closed won",C141="Closed lost"),"Closed",IF(L141="","Check dates",IF(L141&gt;=Settings!$B$5,"Likely dead",IF(L141&gt;=Settings!$B$4,"Dormant","Active")))))</f>
        <v/>
      </c>
      <c r="Q141" s="22">
        <f>IF(OR(P141="Dormant",P141="Likely dead"),ROUND(100*IFERROR(VLOOKUP(C141,Settings!$D$4:$E$8,2,FALSE),0.3)*MIN(1,N(D141)/Settings!$B$7)*IF(P141="Dormant",1-0.5*(L141-Settings!$B$4)/MAX(1,Settings!$B$5-Settings!$B$4),0.25),0),"")</f>
        <v/>
      </c>
      <c r="R141" s="22">
        <f>IF(P141="Dormant",IF(AND(N(D141)&gt;=Settings!$B$6,N(Q141)&gt;=40),"Re-engage now",IF(N(D141)&gt;=Settings!$B$6,"Investigate, then decide","Low value: batch or close")),IF(P141="Likely dead","Close out or recycle to nurture",IF(P141="Active","Leave: active",IF(P141="Check dates","Add dates",""))))</f>
        <v/>
      </c>
      <c r="S141" s="23">
        <f>IF(OR(R141="Re-engage now",R141="Investigate, then decide"),Q141+ROW()/1000000,"")</f>
        <v/>
      </c>
    </row>
    <row r="142">
      <c r="A142" s="24" t="n"/>
      <c r="B142" s="24" t="n"/>
      <c r="C142" s="24" t="n"/>
      <c r="D142" s="25" t="n"/>
      <c r="E142" s="26" t="n"/>
      <c r="F142" s="26" t="n"/>
      <c r="G142" s="26" t="n"/>
      <c r="H142" s="26" t="n"/>
      <c r="I142" s="26" t="n"/>
      <c r="J142" s="24" t="n"/>
      <c r="K142" s="24" t="n"/>
      <c r="L142" s="22">
        <f>IF(A142="","",IF(AND(F142="",E142=""),"",TODAY()-IF(F142="",E142,F142)))</f>
        <v/>
      </c>
      <c r="M142" s="22">
        <f>IF(OR(A142="",E142=""),"",TODAY()-E142)</f>
        <v/>
      </c>
      <c r="N142" s="22">
        <f>IF(OR(H142="",I142=""),"",I142-H142)</f>
        <v/>
      </c>
      <c r="O142" s="22">
        <f>IF(OR(F142="",G142=""),"",IF(G142-F142&gt;Settings!$B$8,"CRM activity, no buyer contact",""))</f>
        <v/>
      </c>
      <c r="P142" s="22">
        <f>IF(A142="","",IF(OR(C142="Closed won",C142="Closed lost"),"Closed",IF(L142="","Check dates",IF(L142&gt;=Settings!$B$5,"Likely dead",IF(L142&gt;=Settings!$B$4,"Dormant","Active")))))</f>
        <v/>
      </c>
      <c r="Q142" s="22">
        <f>IF(OR(P142="Dormant",P142="Likely dead"),ROUND(100*IFERROR(VLOOKUP(C142,Settings!$D$4:$E$8,2,FALSE),0.3)*MIN(1,N(D142)/Settings!$B$7)*IF(P142="Dormant",1-0.5*(L142-Settings!$B$4)/MAX(1,Settings!$B$5-Settings!$B$4),0.25),0),"")</f>
        <v/>
      </c>
      <c r="R142" s="22">
        <f>IF(P142="Dormant",IF(AND(N(D142)&gt;=Settings!$B$6,N(Q142)&gt;=40),"Re-engage now",IF(N(D142)&gt;=Settings!$B$6,"Investigate, then decide","Low value: batch or close")),IF(P142="Likely dead","Close out or recycle to nurture",IF(P142="Active","Leave: active",IF(P142="Check dates","Add dates",""))))</f>
        <v/>
      </c>
      <c r="S142" s="23">
        <f>IF(OR(R142="Re-engage now",R142="Investigate, then decide"),Q142+ROW()/1000000,"")</f>
        <v/>
      </c>
    </row>
    <row r="143">
      <c r="A143" s="24" t="n"/>
      <c r="B143" s="24" t="n"/>
      <c r="C143" s="24" t="n"/>
      <c r="D143" s="25" t="n"/>
      <c r="E143" s="26" t="n"/>
      <c r="F143" s="26" t="n"/>
      <c r="G143" s="26" t="n"/>
      <c r="H143" s="26" t="n"/>
      <c r="I143" s="26" t="n"/>
      <c r="J143" s="24" t="n"/>
      <c r="K143" s="24" t="n"/>
      <c r="L143" s="22">
        <f>IF(A143="","",IF(AND(F143="",E143=""),"",TODAY()-IF(F143="",E143,F143)))</f>
        <v/>
      </c>
      <c r="M143" s="22">
        <f>IF(OR(A143="",E143=""),"",TODAY()-E143)</f>
        <v/>
      </c>
      <c r="N143" s="22">
        <f>IF(OR(H143="",I143=""),"",I143-H143)</f>
        <v/>
      </c>
      <c r="O143" s="22">
        <f>IF(OR(F143="",G143=""),"",IF(G143-F143&gt;Settings!$B$8,"CRM activity, no buyer contact",""))</f>
        <v/>
      </c>
      <c r="P143" s="22">
        <f>IF(A143="","",IF(OR(C143="Closed won",C143="Closed lost"),"Closed",IF(L143="","Check dates",IF(L143&gt;=Settings!$B$5,"Likely dead",IF(L143&gt;=Settings!$B$4,"Dormant","Active")))))</f>
        <v/>
      </c>
      <c r="Q143" s="22">
        <f>IF(OR(P143="Dormant",P143="Likely dead"),ROUND(100*IFERROR(VLOOKUP(C143,Settings!$D$4:$E$8,2,FALSE),0.3)*MIN(1,N(D143)/Settings!$B$7)*IF(P143="Dormant",1-0.5*(L143-Settings!$B$4)/MAX(1,Settings!$B$5-Settings!$B$4),0.25),0),"")</f>
        <v/>
      </c>
      <c r="R143" s="22">
        <f>IF(P143="Dormant",IF(AND(N(D143)&gt;=Settings!$B$6,N(Q143)&gt;=40),"Re-engage now",IF(N(D143)&gt;=Settings!$B$6,"Investigate, then decide","Low value: batch or close")),IF(P143="Likely dead","Close out or recycle to nurture",IF(P143="Active","Leave: active",IF(P143="Check dates","Add dates",""))))</f>
        <v/>
      </c>
      <c r="S143" s="23">
        <f>IF(OR(R143="Re-engage now",R143="Investigate, then decide"),Q143+ROW()/1000000,"")</f>
        <v/>
      </c>
    </row>
    <row r="144">
      <c r="A144" s="24" t="n"/>
      <c r="B144" s="24" t="n"/>
      <c r="C144" s="24" t="n"/>
      <c r="D144" s="25" t="n"/>
      <c r="E144" s="26" t="n"/>
      <c r="F144" s="26" t="n"/>
      <c r="G144" s="26" t="n"/>
      <c r="H144" s="26" t="n"/>
      <c r="I144" s="26" t="n"/>
      <c r="J144" s="24" t="n"/>
      <c r="K144" s="24" t="n"/>
      <c r="L144" s="22">
        <f>IF(A144="","",IF(AND(F144="",E144=""),"",TODAY()-IF(F144="",E144,F144)))</f>
        <v/>
      </c>
      <c r="M144" s="22">
        <f>IF(OR(A144="",E144=""),"",TODAY()-E144)</f>
        <v/>
      </c>
      <c r="N144" s="22">
        <f>IF(OR(H144="",I144=""),"",I144-H144)</f>
        <v/>
      </c>
      <c r="O144" s="22">
        <f>IF(OR(F144="",G144=""),"",IF(G144-F144&gt;Settings!$B$8,"CRM activity, no buyer contact",""))</f>
        <v/>
      </c>
      <c r="P144" s="22">
        <f>IF(A144="","",IF(OR(C144="Closed won",C144="Closed lost"),"Closed",IF(L144="","Check dates",IF(L144&gt;=Settings!$B$5,"Likely dead",IF(L144&gt;=Settings!$B$4,"Dormant","Active")))))</f>
        <v/>
      </c>
      <c r="Q144" s="22">
        <f>IF(OR(P144="Dormant",P144="Likely dead"),ROUND(100*IFERROR(VLOOKUP(C144,Settings!$D$4:$E$8,2,FALSE),0.3)*MIN(1,N(D144)/Settings!$B$7)*IF(P144="Dormant",1-0.5*(L144-Settings!$B$4)/MAX(1,Settings!$B$5-Settings!$B$4),0.25),0),"")</f>
        <v/>
      </c>
      <c r="R144" s="22">
        <f>IF(P144="Dormant",IF(AND(N(D144)&gt;=Settings!$B$6,N(Q144)&gt;=40),"Re-engage now",IF(N(D144)&gt;=Settings!$B$6,"Investigate, then decide","Low value: batch or close")),IF(P144="Likely dead","Close out or recycle to nurture",IF(P144="Active","Leave: active",IF(P144="Check dates","Add dates",""))))</f>
        <v/>
      </c>
      <c r="S144" s="23">
        <f>IF(OR(R144="Re-engage now",R144="Investigate, then decide"),Q144+ROW()/1000000,"")</f>
        <v/>
      </c>
    </row>
    <row r="145">
      <c r="A145" s="24" t="n"/>
      <c r="B145" s="24" t="n"/>
      <c r="C145" s="24" t="n"/>
      <c r="D145" s="25" t="n"/>
      <c r="E145" s="26" t="n"/>
      <c r="F145" s="26" t="n"/>
      <c r="G145" s="26" t="n"/>
      <c r="H145" s="26" t="n"/>
      <c r="I145" s="26" t="n"/>
      <c r="J145" s="24" t="n"/>
      <c r="K145" s="24" t="n"/>
      <c r="L145" s="22">
        <f>IF(A145="","",IF(AND(F145="",E145=""),"",TODAY()-IF(F145="",E145,F145)))</f>
        <v/>
      </c>
      <c r="M145" s="22">
        <f>IF(OR(A145="",E145=""),"",TODAY()-E145)</f>
        <v/>
      </c>
      <c r="N145" s="22">
        <f>IF(OR(H145="",I145=""),"",I145-H145)</f>
        <v/>
      </c>
      <c r="O145" s="22">
        <f>IF(OR(F145="",G145=""),"",IF(G145-F145&gt;Settings!$B$8,"CRM activity, no buyer contact",""))</f>
        <v/>
      </c>
      <c r="P145" s="22">
        <f>IF(A145="","",IF(OR(C145="Closed won",C145="Closed lost"),"Closed",IF(L145="","Check dates",IF(L145&gt;=Settings!$B$5,"Likely dead",IF(L145&gt;=Settings!$B$4,"Dormant","Active")))))</f>
        <v/>
      </c>
      <c r="Q145" s="22">
        <f>IF(OR(P145="Dormant",P145="Likely dead"),ROUND(100*IFERROR(VLOOKUP(C145,Settings!$D$4:$E$8,2,FALSE),0.3)*MIN(1,N(D145)/Settings!$B$7)*IF(P145="Dormant",1-0.5*(L145-Settings!$B$4)/MAX(1,Settings!$B$5-Settings!$B$4),0.25),0),"")</f>
        <v/>
      </c>
      <c r="R145" s="22">
        <f>IF(P145="Dormant",IF(AND(N(D145)&gt;=Settings!$B$6,N(Q145)&gt;=40),"Re-engage now",IF(N(D145)&gt;=Settings!$B$6,"Investigate, then decide","Low value: batch or close")),IF(P145="Likely dead","Close out or recycle to nurture",IF(P145="Active","Leave: active",IF(P145="Check dates","Add dates",""))))</f>
        <v/>
      </c>
      <c r="S145" s="23">
        <f>IF(OR(R145="Re-engage now",R145="Investigate, then decide"),Q145+ROW()/1000000,"")</f>
        <v/>
      </c>
    </row>
    <row r="146">
      <c r="A146" s="24" t="n"/>
      <c r="B146" s="24" t="n"/>
      <c r="C146" s="24" t="n"/>
      <c r="D146" s="25" t="n"/>
      <c r="E146" s="26" t="n"/>
      <c r="F146" s="26" t="n"/>
      <c r="G146" s="26" t="n"/>
      <c r="H146" s="26" t="n"/>
      <c r="I146" s="26" t="n"/>
      <c r="J146" s="24" t="n"/>
      <c r="K146" s="24" t="n"/>
      <c r="L146" s="22">
        <f>IF(A146="","",IF(AND(F146="",E146=""),"",TODAY()-IF(F146="",E146,F146)))</f>
        <v/>
      </c>
      <c r="M146" s="22">
        <f>IF(OR(A146="",E146=""),"",TODAY()-E146)</f>
        <v/>
      </c>
      <c r="N146" s="22">
        <f>IF(OR(H146="",I146=""),"",I146-H146)</f>
        <v/>
      </c>
      <c r="O146" s="22">
        <f>IF(OR(F146="",G146=""),"",IF(G146-F146&gt;Settings!$B$8,"CRM activity, no buyer contact",""))</f>
        <v/>
      </c>
      <c r="P146" s="22">
        <f>IF(A146="","",IF(OR(C146="Closed won",C146="Closed lost"),"Closed",IF(L146="","Check dates",IF(L146&gt;=Settings!$B$5,"Likely dead",IF(L146&gt;=Settings!$B$4,"Dormant","Active")))))</f>
        <v/>
      </c>
      <c r="Q146" s="22">
        <f>IF(OR(P146="Dormant",P146="Likely dead"),ROUND(100*IFERROR(VLOOKUP(C146,Settings!$D$4:$E$8,2,FALSE),0.3)*MIN(1,N(D146)/Settings!$B$7)*IF(P146="Dormant",1-0.5*(L146-Settings!$B$4)/MAX(1,Settings!$B$5-Settings!$B$4),0.25),0),"")</f>
        <v/>
      </c>
      <c r="R146" s="22">
        <f>IF(P146="Dormant",IF(AND(N(D146)&gt;=Settings!$B$6,N(Q146)&gt;=40),"Re-engage now",IF(N(D146)&gt;=Settings!$B$6,"Investigate, then decide","Low value: batch or close")),IF(P146="Likely dead","Close out or recycle to nurture",IF(P146="Active","Leave: active",IF(P146="Check dates","Add dates",""))))</f>
        <v/>
      </c>
      <c r="S146" s="23">
        <f>IF(OR(R146="Re-engage now",R146="Investigate, then decide"),Q146+ROW()/1000000,"")</f>
        <v/>
      </c>
    </row>
    <row r="147">
      <c r="A147" s="24" t="n"/>
      <c r="B147" s="24" t="n"/>
      <c r="C147" s="24" t="n"/>
      <c r="D147" s="25" t="n"/>
      <c r="E147" s="26" t="n"/>
      <c r="F147" s="26" t="n"/>
      <c r="G147" s="26" t="n"/>
      <c r="H147" s="26" t="n"/>
      <c r="I147" s="26" t="n"/>
      <c r="J147" s="24" t="n"/>
      <c r="K147" s="24" t="n"/>
      <c r="L147" s="22">
        <f>IF(A147="","",IF(AND(F147="",E147=""),"",TODAY()-IF(F147="",E147,F147)))</f>
        <v/>
      </c>
      <c r="M147" s="22">
        <f>IF(OR(A147="",E147=""),"",TODAY()-E147)</f>
        <v/>
      </c>
      <c r="N147" s="22">
        <f>IF(OR(H147="",I147=""),"",I147-H147)</f>
        <v/>
      </c>
      <c r="O147" s="22">
        <f>IF(OR(F147="",G147=""),"",IF(G147-F147&gt;Settings!$B$8,"CRM activity, no buyer contact",""))</f>
        <v/>
      </c>
      <c r="P147" s="22">
        <f>IF(A147="","",IF(OR(C147="Closed won",C147="Closed lost"),"Closed",IF(L147="","Check dates",IF(L147&gt;=Settings!$B$5,"Likely dead",IF(L147&gt;=Settings!$B$4,"Dormant","Active")))))</f>
        <v/>
      </c>
      <c r="Q147" s="22">
        <f>IF(OR(P147="Dormant",P147="Likely dead"),ROUND(100*IFERROR(VLOOKUP(C147,Settings!$D$4:$E$8,2,FALSE),0.3)*MIN(1,N(D147)/Settings!$B$7)*IF(P147="Dormant",1-0.5*(L147-Settings!$B$4)/MAX(1,Settings!$B$5-Settings!$B$4),0.25),0),"")</f>
        <v/>
      </c>
      <c r="R147" s="22">
        <f>IF(P147="Dormant",IF(AND(N(D147)&gt;=Settings!$B$6,N(Q147)&gt;=40),"Re-engage now",IF(N(D147)&gt;=Settings!$B$6,"Investigate, then decide","Low value: batch or close")),IF(P147="Likely dead","Close out or recycle to nurture",IF(P147="Active","Leave: active",IF(P147="Check dates","Add dates",""))))</f>
        <v/>
      </c>
      <c r="S147" s="23">
        <f>IF(OR(R147="Re-engage now",R147="Investigate, then decide"),Q147+ROW()/1000000,"")</f>
        <v/>
      </c>
    </row>
    <row r="148">
      <c r="A148" s="24" t="n"/>
      <c r="B148" s="24" t="n"/>
      <c r="C148" s="24" t="n"/>
      <c r="D148" s="25" t="n"/>
      <c r="E148" s="26" t="n"/>
      <c r="F148" s="26" t="n"/>
      <c r="G148" s="26" t="n"/>
      <c r="H148" s="26" t="n"/>
      <c r="I148" s="26" t="n"/>
      <c r="J148" s="24" t="n"/>
      <c r="K148" s="24" t="n"/>
      <c r="L148" s="22">
        <f>IF(A148="","",IF(AND(F148="",E148=""),"",TODAY()-IF(F148="",E148,F148)))</f>
        <v/>
      </c>
      <c r="M148" s="22">
        <f>IF(OR(A148="",E148=""),"",TODAY()-E148)</f>
        <v/>
      </c>
      <c r="N148" s="22">
        <f>IF(OR(H148="",I148=""),"",I148-H148)</f>
        <v/>
      </c>
      <c r="O148" s="22">
        <f>IF(OR(F148="",G148=""),"",IF(G148-F148&gt;Settings!$B$8,"CRM activity, no buyer contact",""))</f>
        <v/>
      </c>
      <c r="P148" s="22">
        <f>IF(A148="","",IF(OR(C148="Closed won",C148="Closed lost"),"Closed",IF(L148="","Check dates",IF(L148&gt;=Settings!$B$5,"Likely dead",IF(L148&gt;=Settings!$B$4,"Dormant","Active")))))</f>
        <v/>
      </c>
      <c r="Q148" s="22">
        <f>IF(OR(P148="Dormant",P148="Likely dead"),ROUND(100*IFERROR(VLOOKUP(C148,Settings!$D$4:$E$8,2,FALSE),0.3)*MIN(1,N(D148)/Settings!$B$7)*IF(P148="Dormant",1-0.5*(L148-Settings!$B$4)/MAX(1,Settings!$B$5-Settings!$B$4),0.25),0),"")</f>
        <v/>
      </c>
      <c r="R148" s="22">
        <f>IF(P148="Dormant",IF(AND(N(D148)&gt;=Settings!$B$6,N(Q148)&gt;=40),"Re-engage now",IF(N(D148)&gt;=Settings!$B$6,"Investigate, then decide","Low value: batch or close")),IF(P148="Likely dead","Close out or recycle to nurture",IF(P148="Active","Leave: active",IF(P148="Check dates","Add dates",""))))</f>
        <v/>
      </c>
      <c r="S148" s="23">
        <f>IF(OR(R148="Re-engage now",R148="Investigate, then decide"),Q148+ROW()/1000000,"")</f>
        <v/>
      </c>
    </row>
    <row r="149">
      <c r="A149" s="24" t="n"/>
      <c r="B149" s="24" t="n"/>
      <c r="C149" s="24" t="n"/>
      <c r="D149" s="25" t="n"/>
      <c r="E149" s="26" t="n"/>
      <c r="F149" s="26" t="n"/>
      <c r="G149" s="26" t="n"/>
      <c r="H149" s="26" t="n"/>
      <c r="I149" s="26" t="n"/>
      <c r="J149" s="24" t="n"/>
      <c r="K149" s="24" t="n"/>
      <c r="L149" s="22">
        <f>IF(A149="","",IF(AND(F149="",E149=""),"",TODAY()-IF(F149="",E149,F149)))</f>
        <v/>
      </c>
      <c r="M149" s="22">
        <f>IF(OR(A149="",E149=""),"",TODAY()-E149)</f>
        <v/>
      </c>
      <c r="N149" s="22">
        <f>IF(OR(H149="",I149=""),"",I149-H149)</f>
        <v/>
      </c>
      <c r="O149" s="22">
        <f>IF(OR(F149="",G149=""),"",IF(G149-F149&gt;Settings!$B$8,"CRM activity, no buyer contact",""))</f>
        <v/>
      </c>
      <c r="P149" s="22">
        <f>IF(A149="","",IF(OR(C149="Closed won",C149="Closed lost"),"Closed",IF(L149="","Check dates",IF(L149&gt;=Settings!$B$5,"Likely dead",IF(L149&gt;=Settings!$B$4,"Dormant","Active")))))</f>
        <v/>
      </c>
      <c r="Q149" s="22">
        <f>IF(OR(P149="Dormant",P149="Likely dead"),ROUND(100*IFERROR(VLOOKUP(C149,Settings!$D$4:$E$8,2,FALSE),0.3)*MIN(1,N(D149)/Settings!$B$7)*IF(P149="Dormant",1-0.5*(L149-Settings!$B$4)/MAX(1,Settings!$B$5-Settings!$B$4),0.25),0),"")</f>
        <v/>
      </c>
      <c r="R149" s="22">
        <f>IF(P149="Dormant",IF(AND(N(D149)&gt;=Settings!$B$6,N(Q149)&gt;=40),"Re-engage now",IF(N(D149)&gt;=Settings!$B$6,"Investigate, then decide","Low value: batch or close")),IF(P149="Likely dead","Close out or recycle to nurture",IF(P149="Active","Leave: active",IF(P149="Check dates","Add dates",""))))</f>
        <v/>
      </c>
      <c r="S149" s="23">
        <f>IF(OR(R149="Re-engage now",R149="Investigate, then decide"),Q149+ROW()/1000000,"")</f>
        <v/>
      </c>
    </row>
    <row r="150">
      <c r="A150" s="24" t="n"/>
      <c r="B150" s="24" t="n"/>
      <c r="C150" s="24" t="n"/>
      <c r="D150" s="25" t="n"/>
      <c r="E150" s="26" t="n"/>
      <c r="F150" s="26" t="n"/>
      <c r="G150" s="26" t="n"/>
      <c r="H150" s="26" t="n"/>
      <c r="I150" s="26" t="n"/>
      <c r="J150" s="24" t="n"/>
      <c r="K150" s="24" t="n"/>
      <c r="L150" s="22">
        <f>IF(A150="","",IF(AND(F150="",E150=""),"",TODAY()-IF(F150="",E150,F150)))</f>
        <v/>
      </c>
      <c r="M150" s="22">
        <f>IF(OR(A150="",E150=""),"",TODAY()-E150)</f>
        <v/>
      </c>
      <c r="N150" s="22">
        <f>IF(OR(H150="",I150=""),"",I150-H150)</f>
        <v/>
      </c>
      <c r="O150" s="22">
        <f>IF(OR(F150="",G150=""),"",IF(G150-F150&gt;Settings!$B$8,"CRM activity, no buyer contact",""))</f>
        <v/>
      </c>
      <c r="P150" s="22">
        <f>IF(A150="","",IF(OR(C150="Closed won",C150="Closed lost"),"Closed",IF(L150="","Check dates",IF(L150&gt;=Settings!$B$5,"Likely dead",IF(L150&gt;=Settings!$B$4,"Dormant","Active")))))</f>
        <v/>
      </c>
      <c r="Q150" s="22">
        <f>IF(OR(P150="Dormant",P150="Likely dead"),ROUND(100*IFERROR(VLOOKUP(C150,Settings!$D$4:$E$8,2,FALSE),0.3)*MIN(1,N(D150)/Settings!$B$7)*IF(P150="Dormant",1-0.5*(L150-Settings!$B$4)/MAX(1,Settings!$B$5-Settings!$B$4),0.25),0),"")</f>
        <v/>
      </c>
      <c r="R150" s="22">
        <f>IF(P150="Dormant",IF(AND(N(D150)&gt;=Settings!$B$6,N(Q150)&gt;=40),"Re-engage now",IF(N(D150)&gt;=Settings!$B$6,"Investigate, then decide","Low value: batch or close")),IF(P150="Likely dead","Close out or recycle to nurture",IF(P150="Active","Leave: active",IF(P150="Check dates","Add dates",""))))</f>
        <v/>
      </c>
      <c r="S150" s="23">
        <f>IF(OR(R150="Re-engage now",R150="Investigate, then decide"),Q150+ROW()/1000000,"")</f>
        <v/>
      </c>
    </row>
    <row r="151">
      <c r="A151" s="24" t="n"/>
      <c r="B151" s="24" t="n"/>
      <c r="C151" s="24" t="n"/>
      <c r="D151" s="25" t="n"/>
      <c r="E151" s="26" t="n"/>
      <c r="F151" s="26" t="n"/>
      <c r="G151" s="26" t="n"/>
      <c r="H151" s="26" t="n"/>
      <c r="I151" s="26" t="n"/>
      <c r="J151" s="24" t="n"/>
      <c r="K151" s="24" t="n"/>
      <c r="L151" s="22">
        <f>IF(A151="","",IF(AND(F151="",E151=""),"",TODAY()-IF(F151="",E151,F151)))</f>
        <v/>
      </c>
      <c r="M151" s="22">
        <f>IF(OR(A151="",E151=""),"",TODAY()-E151)</f>
        <v/>
      </c>
      <c r="N151" s="22">
        <f>IF(OR(H151="",I151=""),"",I151-H151)</f>
        <v/>
      </c>
      <c r="O151" s="22">
        <f>IF(OR(F151="",G151=""),"",IF(G151-F151&gt;Settings!$B$8,"CRM activity, no buyer contact",""))</f>
        <v/>
      </c>
      <c r="P151" s="22">
        <f>IF(A151="","",IF(OR(C151="Closed won",C151="Closed lost"),"Closed",IF(L151="","Check dates",IF(L151&gt;=Settings!$B$5,"Likely dead",IF(L151&gt;=Settings!$B$4,"Dormant","Active")))))</f>
        <v/>
      </c>
      <c r="Q151" s="22">
        <f>IF(OR(P151="Dormant",P151="Likely dead"),ROUND(100*IFERROR(VLOOKUP(C151,Settings!$D$4:$E$8,2,FALSE),0.3)*MIN(1,N(D151)/Settings!$B$7)*IF(P151="Dormant",1-0.5*(L151-Settings!$B$4)/MAX(1,Settings!$B$5-Settings!$B$4),0.25),0),"")</f>
        <v/>
      </c>
      <c r="R151" s="22">
        <f>IF(P151="Dormant",IF(AND(N(D151)&gt;=Settings!$B$6,N(Q151)&gt;=40),"Re-engage now",IF(N(D151)&gt;=Settings!$B$6,"Investigate, then decide","Low value: batch or close")),IF(P151="Likely dead","Close out or recycle to nurture",IF(P151="Active","Leave: active",IF(P151="Check dates","Add dates",""))))</f>
        <v/>
      </c>
      <c r="S151" s="23">
        <f>IF(OR(R151="Re-engage now",R151="Investigate, then decide"),Q151+ROW()/1000000,"")</f>
        <v/>
      </c>
    </row>
    <row r="152">
      <c r="A152" s="24" t="n"/>
      <c r="B152" s="24" t="n"/>
      <c r="C152" s="24" t="n"/>
      <c r="D152" s="25" t="n"/>
      <c r="E152" s="26" t="n"/>
      <c r="F152" s="26" t="n"/>
      <c r="G152" s="26" t="n"/>
      <c r="H152" s="26" t="n"/>
      <c r="I152" s="26" t="n"/>
      <c r="J152" s="24" t="n"/>
      <c r="K152" s="24" t="n"/>
      <c r="L152" s="22">
        <f>IF(A152="","",IF(AND(F152="",E152=""),"",TODAY()-IF(F152="",E152,F152)))</f>
        <v/>
      </c>
      <c r="M152" s="22">
        <f>IF(OR(A152="",E152=""),"",TODAY()-E152)</f>
        <v/>
      </c>
      <c r="N152" s="22">
        <f>IF(OR(H152="",I152=""),"",I152-H152)</f>
        <v/>
      </c>
      <c r="O152" s="22">
        <f>IF(OR(F152="",G152=""),"",IF(G152-F152&gt;Settings!$B$8,"CRM activity, no buyer contact",""))</f>
        <v/>
      </c>
      <c r="P152" s="22">
        <f>IF(A152="","",IF(OR(C152="Closed won",C152="Closed lost"),"Closed",IF(L152="","Check dates",IF(L152&gt;=Settings!$B$5,"Likely dead",IF(L152&gt;=Settings!$B$4,"Dormant","Active")))))</f>
        <v/>
      </c>
      <c r="Q152" s="22">
        <f>IF(OR(P152="Dormant",P152="Likely dead"),ROUND(100*IFERROR(VLOOKUP(C152,Settings!$D$4:$E$8,2,FALSE),0.3)*MIN(1,N(D152)/Settings!$B$7)*IF(P152="Dormant",1-0.5*(L152-Settings!$B$4)/MAX(1,Settings!$B$5-Settings!$B$4),0.25),0),"")</f>
        <v/>
      </c>
      <c r="R152" s="22">
        <f>IF(P152="Dormant",IF(AND(N(D152)&gt;=Settings!$B$6,N(Q152)&gt;=40),"Re-engage now",IF(N(D152)&gt;=Settings!$B$6,"Investigate, then decide","Low value: batch or close")),IF(P152="Likely dead","Close out or recycle to nurture",IF(P152="Active","Leave: active",IF(P152="Check dates","Add dates",""))))</f>
        <v/>
      </c>
      <c r="S152" s="23">
        <f>IF(OR(R152="Re-engage now",R152="Investigate, then decide"),Q152+ROW()/1000000,"")</f>
        <v/>
      </c>
    </row>
    <row r="153">
      <c r="A153" s="24" t="n"/>
      <c r="B153" s="24" t="n"/>
      <c r="C153" s="24" t="n"/>
      <c r="D153" s="25" t="n"/>
      <c r="E153" s="26" t="n"/>
      <c r="F153" s="26" t="n"/>
      <c r="G153" s="26" t="n"/>
      <c r="H153" s="26" t="n"/>
      <c r="I153" s="26" t="n"/>
      <c r="J153" s="24" t="n"/>
      <c r="K153" s="24" t="n"/>
      <c r="L153" s="22">
        <f>IF(A153="","",IF(AND(F153="",E153=""),"",TODAY()-IF(F153="",E153,F153)))</f>
        <v/>
      </c>
      <c r="M153" s="22">
        <f>IF(OR(A153="",E153=""),"",TODAY()-E153)</f>
        <v/>
      </c>
      <c r="N153" s="22">
        <f>IF(OR(H153="",I153=""),"",I153-H153)</f>
        <v/>
      </c>
      <c r="O153" s="22">
        <f>IF(OR(F153="",G153=""),"",IF(G153-F153&gt;Settings!$B$8,"CRM activity, no buyer contact",""))</f>
        <v/>
      </c>
      <c r="P153" s="22">
        <f>IF(A153="","",IF(OR(C153="Closed won",C153="Closed lost"),"Closed",IF(L153="","Check dates",IF(L153&gt;=Settings!$B$5,"Likely dead",IF(L153&gt;=Settings!$B$4,"Dormant","Active")))))</f>
        <v/>
      </c>
      <c r="Q153" s="22">
        <f>IF(OR(P153="Dormant",P153="Likely dead"),ROUND(100*IFERROR(VLOOKUP(C153,Settings!$D$4:$E$8,2,FALSE),0.3)*MIN(1,N(D153)/Settings!$B$7)*IF(P153="Dormant",1-0.5*(L153-Settings!$B$4)/MAX(1,Settings!$B$5-Settings!$B$4),0.25),0),"")</f>
        <v/>
      </c>
      <c r="R153" s="22">
        <f>IF(P153="Dormant",IF(AND(N(D153)&gt;=Settings!$B$6,N(Q153)&gt;=40),"Re-engage now",IF(N(D153)&gt;=Settings!$B$6,"Investigate, then decide","Low value: batch or close")),IF(P153="Likely dead","Close out or recycle to nurture",IF(P153="Active","Leave: active",IF(P153="Check dates","Add dates",""))))</f>
        <v/>
      </c>
      <c r="S153" s="23">
        <f>IF(OR(R153="Re-engage now",R153="Investigate, then decide"),Q153+ROW()/1000000,"")</f>
        <v/>
      </c>
    </row>
    <row r="154">
      <c r="A154" s="24" t="n"/>
      <c r="B154" s="24" t="n"/>
      <c r="C154" s="24" t="n"/>
      <c r="D154" s="25" t="n"/>
      <c r="E154" s="26" t="n"/>
      <c r="F154" s="26" t="n"/>
      <c r="G154" s="26" t="n"/>
      <c r="H154" s="26" t="n"/>
      <c r="I154" s="26" t="n"/>
      <c r="J154" s="24" t="n"/>
      <c r="K154" s="24" t="n"/>
      <c r="L154" s="22">
        <f>IF(A154="","",IF(AND(F154="",E154=""),"",TODAY()-IF(F154="",E154,F154)))</f>
        <v/>
      </c>
      <c r="M154" s="22">
        <f>IF(OR(A154="",E154=""),"",TODAY()-E154)</f>
        <v/>
      </c>
      <c r="N154" s="22">
        <f>IF(OR(H154="",I154=""),"",I154-H154)</f>
        <v/>
      </c>
      <c r="O154" s="22">
        <f>IF(OR(F154="",G154=""),"",IF(G154-F154&gt;Settings!$B$8,"CRM activity, no buyer contact",""))</f>
        <v/>
      </c>
      <c r="P154" s="22">
        <f>IF(A154="","",IF(OR(C154="Closed won",C154="Closed lost"),"Closed",IF(L154="","Check dates",IF(L154&gt;=Settings!$B$5,"Likely dead",IF(L154&gt;=Settings!$B$4,"Dormant","Active")))))</f>
        <v/>
      </c>
      <c r="Q154" s="22">
        <f>IF(OR(P154="Dormant",P154="Likely dead"),ROUND(100*IFERROR(VLOOKUP(C154,Settings!$D$4:$E$8,2,FALSE),0.3)*MIN(1,N(D154)/Settings!$B$7)*IF(P154="Dormant",1-0.5*(L154-Settings!$B$4)/MAX(1,Settings!$B$5-Settings!$B$4),0.25),0),"")</f>
        <v/>
      </c>
      <c r="R154" s="22">
        <f>IF(P154="Dormant",IF(AND(N(D154)&gt;=Settings!$B$6,N(Q154)&gt;=40),"Re-engage now",IF(N(D154)&gt;=Settings!$B$6,"Investigate, then decide","Low value: batch or close")),IF(P154="Likely dead","Close out or recycle to nurture",IF(P154="Active","Leave: active",IF(P154="Check dates","Add dates",""))))</f>
        <v/>
      </c>
      <c r="S154" s="23">
        <f>IF(OR(R154="Re-engage now",R154="Investigate, then decide"),Q154+ROW()/1000000,"")</f>
        <v/>
      </c>
    </row>
    <row r="155">
      <c r="A155" s="24" t="n"/>
      <c r="B155" s="24" t="n"/>
      <c r="C155" s="24" t="n"/>
      <c r="D155" s="25" t="n"/>
      <c r="E155" s="26" t="n"/>
      <c r="F155" s="26" t="n"/>
      <c r="G155" s="26" t="n"/>
      <c r="H155" s="26" t="n"/>
      <c r="I155" s="26" t="n"/>
      <c r="J155" s="24" t="n"/>
      <c r="K155" s="24" t="n"/>
      <c r="L155" s="22">
        <f>IF(A155="","",IF(AND(F155="",E155=""),"",TODAY()-IF(F155="",E155,F155)))</f>
        <v/>
      </c>
      <c r="M155" s="22">
        <f>IF(OR(A155="",E155=""),"",TODAY()-E155)</f>
        <v/>
      </c>
      <c r="N155" s="22">
        <f>IF(OR(H155="",I155=""),"",I155-H155)</f>
        <v/>
      </c>
      <c r="O155" s="22">
        <f>IF(OR(F155="",G155=""),"",IF(G155-F155&gt;Settings!$B$8,"CRM activity, no buyer contact",""))</f>
        <v/>
      </c>
      <c r="P155" s="22">
        <f>IF(A155="","",IF(OR(C155="Closed won",C155="Closed lost"),"Closed",IF(L155="","Check dates",IF(L155&gt;=Settings!$B$5,"Likely dead",IF(L155&gt;=Settings!$B$4,"Dormant","Active")))))</f>
        <v/>
      </c>
      <c r="Q155" s="22">
        <f>IF(OR(P155="Dormant",P155="Likely dead"),ROUND(100*IFERROR(VLOOKUP(C155,Settings!$D$4:$E$8,2,FALSE),0.3)*MIN(1,N(D155)/Settings!$B$7)*IF(P155="Dormant",1-0.5*(L155-Settings!$B$4)/MAX(1,Settings!$B$5-Settings!$B$4),0.25),0),"")</f>
        <v/>
      </c>
      <c r="R155" s="22">
        <f>IF(P155="Dormant",IF(AND(N(D155)&gt;=Settings!$B$6,N(Q155)&gt;=40),"Re-engage now",IF(N(D155)&gt;=Settings!$B$6,"Investigate, then decide","Low value: batch or close")),IF(P155="Likely dead","Close out or recycle to nurture",IF(P155="Active","Leave: active",IF(P155="Check dates","Add dates",""))))</f>
        <v/>
      </c>
      <c r="S155" s="23">
        <f>IF(OR(R155="Re-engage now",R155="Investigate, then decide"),Q155+ROW()/1000000,"")</f>
        <v/>
      </c>
    </row>
    <row r="156">
      <c r="A156" s="24" t="n"/>
      <c r="B156" s="24" t="n"/>
      <c r="C156" s="24" t="n"/>
      <c r="D156" s="25" t="n"/>
      <c r="E156" s="26" t="n"/>
      <c r="F156" s="26" t="n"/>
      <c r="G156" s="26" t="n"/>
      <c r="H156" s="26" t="n"/>
      <c r="I156" s="26" t="n"/>
      <c r="J156" s="24" t="n"/>
      <c r="K156" s="24" t="n"/>
      <c r="L156" s="22">
        <f>IF(A156="","",IF(AND(F156="",E156=""),"",TODAY()-IF(F156="",E156,F156)))</f>
        <v/>
      </c>
      <c r="M156" s="22">
        <f>IF(OR(A156="",E156=""),"",TODAY()-E156)</f>
        <v/>
      </c>
      <c r="N156" s="22">
        <f>IF(OR(H156="",I156=""),"",I156-H156)</f>
        <v/>
      </c>
      <c r="O156" s="22">
        <f>IF(OR(F156="",G156=""),"",IF(G156-F156&gt;Settings!$B$8,"CRM activity, no buyer contact",""))</f>
        <v/>
      </c>
      <c r="P156" s="22">
        <f>IF(A156="","",IF(OR(C156="Closed won",C156="Closed lost"),"Closed",IF(L156="","Check dates",IF(L156&gt;=Settings!$B$5,"Likely dead",IF(L156&gt;=Settings!$B$4,"Dormant","Active")))))</f>
        <v/>
      </c>
      <c r="Q156" s="22">
        <f>IF(OR(P156="Dormant",P156="Likely dead"),ROUND(100*IFERROR(VLOOKUP(C156,Settings!$D$4:$E$8,2,FALSE),0.3)*MIN(1,N(D156)/Settings!$B$7)*IF(P156="Dormant",1-0.5*(L156-Settings!$B$4)/MAX(1,Settings!$B$5-Settings!$B$4),0.25),0),"")</f>
        <v/>
      </c>
      <c r="R156" s="22">
        <f>IF(P156="Dormant",IF(AND(N(D156)&gt;=Settings!$B$6,N(Q156)&gt;=40),"Re-engage now",IF(N(D156)&gt;=Settings!$B$6,"Investigate, then decide","Low value: batch or close")),IF(P156="Likely dead","Close out or recycle to nurture",IF(P156="Active","Leave: active",IF(P156="Check dates","Add dates",""))))</f>
        <v/>
      </c>
      <c r="S156" s="23">
        <f>IF(OR(R156="Re-engage now",R156="Investigate, then decide"),Q156+ROW()/1000000,"")</f>
        <v/>
      </c>
    </row>
    <row r="157">
      <c r="A157" s="24" t="n"/>
      <c r="B157" s="24" t="n"/>
      <c r="C157" s="24" t="n"/>
      <c r="D157" s="25" t="n"/>
      <c r="E157" s="26" t="n"/>
      <c r="F157" s="26" t="n"/>
      <c r="G157" s="26" t="n"/>
      <c r="H157" s="26" t="n"/>
      <c r="I157" s="26" t="n"/>
      <c r="J157" s="24" t="n"/>
      <c r="K157" s="24" t="n"/>
      <c r="L157" s="22">
        <f>IF(A157="","",IF(AND(F157="",E157=""),"",TODAY()-IF(F157="",E157,F157)))</f>
        <v/>
      </c>
      <c r="M157" s="22">
        <f>IF(OR(A157="",E157=""),"",TODAY()-E157)</f>
        <v/>
      </c>
      <c r="N157" s="22">
        <f>IF(OR(H157="",I157=""),"",I157-H157)</f>
        <v/>
      </c>
      <c r="O157" s="22">
        <f>IF(OR(F157="",G157=""),"",IF(G157-F157&gt;Settings!$B$8,"CRM activity, no buyer contact",""))</f>
        <v/>
      </c>
      <c r="P157" s="22">
        <f>IF(A157="","",IF(OR(C157="Closed won",C157="Closed lost"),"Closed",IF(L157="","Check dates",IF(L157&gt;=Settings!$B$5,"Likely dead",IF(L157&gt;=Settings!$B$4,"Dormant","Active")))))</f>
        <v/>
      </c>
      <c r="Q157" s="22">
        <f>IF(OR(P157="Dormant",P157="Likely dead"),ROUND(100*IFERROR(VLOOKUP(C157,Settings!$D$4:$E$8,2,FALSE),0.3)*MIN(1,N(D157)/Settings!$B$7)*IF(P157="Dormant",1-0.5*(L157-Settings!$B$4)/MAX(1,Settings!$B$5-Settings!$B$4),0.25),0),"")</f>
        <v/>
      </c>
      <c r="R157" s="22">
        <f>IF(P157="Dormant",IF(AND(N(D157)&gt;=Settings!$B$6,N(Q157)&gt;=40),"Re-engage now",IF(N(D157)&gt;=Settings!$B$6,"Investigate, then decide","Low value: batch or close")),IF(P157="Likely dead","Close out or recycle to nurture",IF(P157="Active","Leave: active",IF(P157="Check dates","Add dates",""))))</f>
        <v/>
      </c>
      <c r="S157" s="23">
        <f>IF(OR(R157="Re-engage now",R157="Investigate, then decide"),Q157+ROW()/1000000,"")</f>
        <v/>
      </c>
    </row>
    <row r="158">
      <c r="A158" s="24" t="n"/>
      <c r="B158" s="24" t="n"/>
      <c r="C158" s="24" t="n"/>
      <c r="D158" s="25" t="n"/>
      <c r="E158" s="26" t="n"/>
      <c r="F158" s="26" t="n"/>
      <c r="G158" s="26" t="n"/>
      <c r="H158" s="26" t="n"/>
      <c r="I158" s="26" t="n"/>
      <c r="J158" s="24" t="n"/>
      <c r="K158" s="24" t="n"/>
      <c r="L158" s="22">
        <f>IF(A158="","",IF(AND(F158="",E158=""),"",TODAY()-IF(F158="",E158,F158)))</f>
        <v/>
      </c>
      <c r="M158" s="22">
        <f>IF(OR(A158="",E158=""),"",TODAY()-E158)</f>
        <v/>
      </c>
      <c r="N158" s="22">
        <f>IF(OR(H158="",I158=""),"",I158-H158)</f>
        <v/>
      </c>
      <c r="O158" s="22">
        <f>IF(OR(F158="",G158=""),"",IF(G158-F158&gt;Settings!$B$8,"CRM activity, no buyer contact",""))</f>
        <v/>
      </c>
      <c r="P158" s="22">
        <f>IF(A158="","",IF(OR(C158="Closed won",C158="Closed lost"),"Closed",IF(L158="","Check dates",IF(L158&gt;=Settings!$B$5,"Likely dead",IF(L158&gt;=Settings!$B$4,"Dormant","Active")))))</f>
        <v/>
      </c>
      <c r="Q158" s="22">
        <f>IF(OR(P158="Dormant",P158="Likely dead"),ROUND(100*IFERROR(VLOOKUP(C158,Settings!$D$4:$E$8,2,FALSE),0.3)*MIN(1,N(D158)/Settings!$B$7)*IF(P158="Dormant",1-0.5*(L158-Settings!$B$4)/MAX(1,Settings!$B$5-Settings!$B$4),0.25),0),"")</f>
        <v/>
      </c>
      <c r="R158" s="22">
        <f>IF(P158="Dormant",IF(AND(N(D158)&gt;=Settings!$B$6,N(Q158)&gt;=40),"Re-engage now",IF(N(D158)&gt;=Settings!$B$6,"Investigate, then decide","Low value: batch or close")),IF(P158="Likely dead","Close out or recycle to nurture",IF(P158="Active","Leave: active",IF(P158="Check dates","Add dates",""))))</f>
        <v/>
      </c>
      <c r="S158" s="23">
        <f>IF(OR(R158="Re-engage now",R158="Investigate, then decide"),Q158+ROW()/1000000,"")</f>
        <v/>
      </c>
    </row>
    <row r="159">
      <c r="A159" s="24" t="n"/>
      <c r="B159" s="24" t="n"/>
      <c r="C159" s="24" t="n"/>
      <c r="D159" s="25" t="n"/>
      <c r="E159" s="26" t="n"/>
      <c r="F159" s="26" t="n"/>
      <c r="G159" s="26" t="n"/>
      <c r="H159" s="26" t="n"/>
      <c r="I159" s="26" t="n"/>
      <c r="J159" s="24" t="n"/>
      <c r="K159" s="24" t="n"/>
      <c r="L159" s="22">
        <f>IF(A159="","",IF(AND(F159="",E159=""),"",TODAY()-IF(F159="",E159,F159)))</f>
        <v/>
      </c>
      <c r="M159" s="22">
        <f>IF(OR(A159="",E159=""),"",TODAY()-E159)</f>
        <v/>
      </c>
      <c r="N159" s="22">
        <f>IF(OR(H159="",I159=""),"",I159-H159)</f>
        <v/>
      </c>
      <c r="O159" s="22">
        <f>IF(OR(F159="",G159=""),"",IF(G159-F159&gt;Settings!$B$8,"CRM activity, no buyer contact",""))</f>
        <v/>
      </c>
      <c r="P159" s="22">
        <f>IF(A159="","",IF(OR(C159="Closed won",C159="Closed lost"),"Closed",IF(L159="","Check dates",IF(L159&gt;=Settings!$B$5,"Likely dead",IF(L159&gt;=Settings!$B$4,"Dormant","Active")))))</f>
        <v/>
      </c>
      <c r="Q159" s="22">
        <f>IF(OR(P159="Dormant",P159="Likely dead"),ROUND(100*IFERROR(VLOOKUP(C159,Settings!$D$4:$E$8,2,FALSE),0.3)*MIN(1,N(D159)/Settings!$B$7)*IF(P159="Dormant",1-0.5*(L159-Settings!$B$4)/MAX(1,Settings!$B$5-Settings!$B$4),0.25),0),"")</f>
        <v/>
      </c>
      <c r="R159" s="22">
        <f>IF(P159="Dormant",IF(AND(N(D159)&gt;=Settings!$B$6,N(Q159)&gt;=40),"Re-engage now",IF(N(D159)&gt;=Settings!$B$6,"Investigate, then decide","Low value: batch or close")),IF(P159="Likely dead","Close out or recycle to nurture",IF(P159="Active","Leave: active",IF(P159="Check dates","Add dates",""))))</f>
        <v/>
      </c>
      <c r="S159" s="23">
        <f>IF(OR(R159="Re-engage now",R159="Investigate, then decide"),Q159+ROW()/1000000,"")</f>
        <v/>
      </c>
    </row>
    <row r="160">
      <c r="A160" s="24" t="n"/>
      <c r="B160" s="24" t="n"/>
      <c r="C160" s="24" t="n"/>
      <c r="D160" s="25" t="n"/>
      <c r="E160" s="26" t="n"/>
      <c r="F160" s="26" t="n"/>
      <c r="G160" s="26" t="n"/>
      <c r="H160" s="26" t="n"/>
      <c r="I160" s="26" t="n"/>
      <c r="J160" s="24" t="n"/>
      <c r="K160" s="24" t="n"/>
      <c r="L160" s="22">
        <f>IF(A160="","",IF(AND(F160="",E160=""),"",TODAY()-IF(F160="",E160,F160)))</f>
        <v/>
      </c>
      <c r="M160" s="22">
        <f>IF(OR(A160="",E160=""),"",TODAY()-E160)</f>
        <v/>
      </c>
      <c r="N160" s="22">
        <f>IF(OR(H160="",I160=""),"",I160-H160)</f>
        <v/>
      </c>
      <c r="O160" s="22">
        <f>IF(OR(F160="",G160=""),"",IF(G160-F160&gt;Settings!$B$8,"CRM activity, no buyer contact",""))</f>
        <v/>
      </c>
      <c r="P160" s="22">
        <f>IF(A160="","",IF(OR(C160="Closed won",C160="Closed lost"),"Closed",IF(L160="","Check dates",IF(L160&gt;=Settings!$B$5,"Likely dead",IF(L160&gt;=Settings!$B$4,"Dormant","Active")))))</f>
        <v/>
      </c>
      <c r="Q160" s="22">
        <f>IF(OR(P160="Dormant",P160="Likely dead"),ROUND(100*IFERROR(VLOOKUP(C160,Settings!$D$4:$E$8,2,FALSE),0.3)*MIN(1,N(D160)/Settings!$B$7)*IF(P160="Dormant",1-0.5*(L160-Settings!$B$4)/MAX(1,Settings!$B$5-Settings!$B$4),0.25),0),"")</f>
        <v/>
      </c>
      <c r="R160" s="22">
        <f>IF(P160="Dormant",IF(AND(N(D160)&gt;=Settings!$B$6,N(Q160)&gt;=40),"Re-engage now",IF(N(D160)&gt;=Settings!$B$6,"Investigate, then decide","Low value: batch or close")),IF(P160="Likely dead","Close out or recycle to nurture",IF(P160="Active","Leave: active",IF(P160="Check dates","Add dates",""))))</f>
        <v/>
      </c>
      <c r="S160" s="23">
        <f>IF(OR(R160="Re-engage now",R160="Investigate, then decide"),Q160+ROW()/1000000,"")</f>
        <v/>
      </c>
    </row>
    <row r="161">
      <c r="A161" s="24" t="n"/>
      <c r="B161" s="24" t="n"/>
      <c r="C161" s="24" t="n"/>
      <c r="D161" s="25" t="n"/>
      <c r="E161" s="26" t="n"/>
      <c r="F161" s="26" t="n"/>
      <c r="G161" s="26" t="n"/>
      <c r="H161" s="26" t="n"/>
      <c r="I161" s="26" t="n"/>
      <c r="J161" s="24" t="n"/>
      <c r="K161" s="24" t="n"/>
      <c r="L161" s="22">
        <f>IF(A161="","",IF(AND(F161="",E161=""),"",TODAY()-IF(F161="",E161,F161)))</f>
        <v/>
      </c>
      <c r="M161" s="22">
        <f>IF(OR(A161="",E161=""),"",TODAY()-E161)</f>
        <v/>
      </c>
      <c r="N161" s="22">
        <f>IF(OR(H161="",I161=""),"",I161-H161)</f>
        <v/>
      </c>
      <c r="O161" s="22">
        <f>IF(OR(F161="",G161=""),"",IF(G161-F161&gt;Settings!$B$8,"CRM activity, no buyer contact",""))</f>
        <v/>
      </c>
      <c r="P161" s="22">
        <f>IF(A161="","",IF(OR(C161="Closed won",C161="Closed lost"),"Closed",IF(L161="","Check dates",IF(L161&gt;=Settings!$B$5,"Likely dead",IF(L161&gt;=Settings!$B$4,"Dormant","Active")))))</f>
        <v/>
      </c>
      <c r="Q161" s="22">
        <f>IF(OR(P161="Dormant",P161="Likely dead"),ROUND(100*IFERROR(VLOOKUP(C161,Settings!$D$4:$E$8,2,FALSE),0.3)*MIN(1,N(D161)/Settings!$B$7)*IF(P161="Dormant",1-0.5*(L161-Settings!$B$4)/MAX(1,Settings!$B$5-Settings!$B$4),0.25),0),"")</f>
        <v/>
      </c>
      <c r="R161" s="22">
        <f>IF(P161="Dormant",IF(AND(N(D161)&gt;=Settings!$B$6,N(Q161)&gt;=40),"Re-engage now",IF(N(D161)&gt;=Settings!$B$6,"Investigate, then decide","Low value: batch or close")),IF(P161="Likely dead","Close out or recycle to nurture",IF(P161="Active","Leave: active",IF(P161="Check dates","Add dates",""))))</f>
        <v/>
      </c>
      <c r="S161" s="23">
        <f>IF(OR(R161="Re-engage now",R161="Investigate, then decide"),Q161+ROW()/1000000,"")</f>
        <v/>
      </c>
    </row>
    <row r="162">
      <c r="A162" s="24" t="n"/>
      <c r="B162" s="24" t="n"/>
      <c r="C162" s="24" t="n"/>
      <c r="D162" s="25" t="n"/>
      <c r="E162" s="26" t="n"/>
      <c r="F162" s="26" t="n"/>
      <c r="G162" s="26" t="n"/>
      <c r="H162" s="26" t="n"/>
      <c r="I162" s="26" t="n"/>
      <c r="J162" s="24" t="n"/>
      <c r="K162" s="24" t="n"/>
      <c r="L162" s="22">
        <f>IF(A162="","",IF(AND(F162="",E162=""),"",TODAY()-IF(F162="",E162,F162)))</f>
        <v/>
      </c>
      <c r="M162" s="22">
        <f>IF(OR(A162="",E162=""),"",TODAY()-E162)</f>
        <v/>
      </c>
      <c r="N162" s="22">
        <f>IF(OR(H162="",I162=""),"",I162-H162)</f>
        <v/>
      </c>
      <c r="O162" s="22">
        <f>IF(OR(F162="",G162=""),"",IF(G162-F162&gt;Settings!$B$8,"CRM activity, no buyer contact",""))</f>
        <v/>
      </c>
      <c r="P162" s="22">
        <f>IF(A162="","",IF(OR(C162="Closed won",C162="Closed lost"),"Closed",IF(L162="","Check dates",IF(L162&gt;=Settings!$B$5,"Likely dead",IF(L162&gt;=Settings!$B$4,"Dormant","Active")))))</f>
        <v/>
      </c>
      <c r="Q162" s="22">
        <f>IF(OR(P162="Dormant",P162="Likely dead"),ROUND(100*IFERROR(VLOOKUP(C162,Settings!$D$4:$E$8,2,FALSE),0.3)*MIN(1,N(D162)/Settings!$B$7)*IF(P162="Dormant",1-0.5*(L162-Settings!$B$4)/MAX(1,Settings!$B$5-Settings!$B$4),0.25),0),"")</f>
        <v/>
      </c>
      <c r="R162" s="22">
        <f>IF(P162="Dormant",IF(AND(N(D162)&gt;=Settings!$B$6,N(Q162)&gt;=40),"Re-engage now",IF(N(D162)&gt;=Settings!$B$6,"Investigate, then decide","Low value: batch or close")),IF(P162="Likely dead","Close out or recycle to nurture",IF(P162="Active","Leave: active",IF(P162="Check dates","Add dates",""))))</f>
        <v/>
      </c>
      <c r="S162" s="23">
        <f>IF(OR(R162="Re-engage now",R162="Investigate, then decide"),Q162+ROW()/1000000,"")</f>
        <v/>
      </c>
    </row>
    <row r="163">
      <c r="A163" s="24" t="n"/>
      <c r="B163" s="24" t="n"/>
      <c r="C163" s="24" t="n"/>
      <c r="D163" s="25" t="n"/>
      <c r="E163" s="26" t="n"/>
      <c r="F163" s="26" t="n"/>
      <c r="G163" s="26" t="n"/>
      <c r="H163" s="26" t="n"/>
      <c r="I163" s="26" t="n"/>
      <c r="J163" s="24" t="n"/>
      <c r="K163" s="24" t="n"/>
      <c r="L163" s="22">
        <f>IF(A163="","",IF(AND(F163="",E163=""),"",TODAY()-IF(F163="",E163,F163)))</f>
        <v/>
      </c>
      <c r="M163" s="22">
        <f>IF(OR(A163="",E163=""),"",TODAY()-E163)</f>
        <v/>
      </c>
      <c r="N163" s="22">
        <f>IF(OR(H163="",I163=""),"",I163-H163)</f>
        <v/>
      </c>
      <c r="O163" s="22">
        <f>IF(OR(F163="",G163=""),"",IF(G163-F163&gt;Settings!$B$8,"CRM activity, no buyer contact",""))</f>
        <v/>
      </c>
      <c r="P163" s="22">
        <f>IF(A163="","",IF(OR(C163="Closed won",C163="Closed lost"),"Closed",IF(L163="","Check dates",IF(L163&gt;=Settings!$B$5,"Likely dead",IF(L163&gt;=Settings!$B$4,"Dormant","Active")))))</f>
        <v/>
      </c>
      <c r="Q163" s="22">
        <f>IF(OR(P163="Dormant",P163="Likely dead"),ROUND(100*IFERROR(VLOOKUP(C163,Settings!$D$4:$E$8,2,FALSE),0.3)*MIN(1,N(D163)/Settings!$B$7)*IF(P163="Dormant",1-0.5*(L163-Settings!$B$4)/MAX(1,Settings!$B$5-Settings!$B$4),0.25),0),"")</f>
        <v/>
      </c>
      <c r="R163" s="22">
        <f>IF(P163="Dormant",IF(AND(N(D163)&gt;=Settings!$B$6,N(Q163)&gt;=40),"Re-engage now",IF(N(D163)&gt;=Settings!$B$6,"Investigate, then decide","Low value: batch or close")),IF(P163="Likely dead","Close out or recycle to nurture",IF(P163="Active","Leave: active",IF(P163="Check dates","Add dates",""))))</f>
        <v/>
      </c>
      <c r="S163" s="23">
        <f>IF(OR(R163="Re-engage now",R163="Investigate, then decide"),Q163+ROW()/1000000,"")</f>
        <v/>
      </c>
    </row>
    <row r="164">
      <c r="A164" s="24" t="n"/>
      <c r="B164" s="24" t="n"/>
      <c r="C164" s="24" t="n"/>
      <c r="D164" s="25" t="n"/>
      <c r="E164" s="26" t="n"/>
      <c r="F164" s="26" t="n"/>
      <c r="G164" s="26" t="n"/>
      <c r="H164" s="26" t="n"/>
      <c r="I164" s="26" t="n"/>
      <c r="J164" s="24" t="n"/>
      <c r="K164" s="24" t="n"/>
      <c r="L164" s="22">
        <f>IF(A164="","",IF(AND(F164="",E164=""),"",TODAY()-IF(F164="",E164,F164)))</f>
        <v/>
      </c>
      <c r="M164" s="22">
        <f>IF(OR(A164="",E164=""),"",TODAY()-E164)</f>
        <v/>
      </c>
      <c r="N164" s="22">
        <f>IF(OR(H164="",I164=""),"",I164-H164)</f>
        <v/>
      </c>
      <c r="O164" s="22">
        <f>IF(OR(F164="",G164=""),"",IF(G164-F164&gt;Settings!$B$8,"CRM activity, no buyer contact",""))</f>
        <v/>
      </c>
      <c r="P164" s="22">
        <f>IF(A164="","",IF(OR(C164="Closed won",C164="Closed lost"),"Closed",IF(L164="","Check dates",IF(L164&gt;=Settings!$B$5,"Likely dead",IF(L164&gt;=Settings!$B$4,"Dormant","Active")))))</f>
        <v/>
      </c>
      <c r="Q164" s="22">
        <f>IF(OR(P164="Dormant",P164="Likely dead"),ROUND(100*IFERROR(VLOOKUP(C164,Settings!$D$4:$E$8,2,FALSE),0.3)*MIN(1,N(D164)/Settings!$B$7)*IF(P164="Dormant",1-0.5*(L164-Settings!$B$4)/MAX(1,Settings!$B$5-Settings!$B$4),0.25),0),"")</f>
        <v/>
      </c>
      <c r="R164" s="22">
        <f>IF(P164="Dormant",IF(AND(N(D164)&gt;=Settings!$B$6,N(Q164)&gt;=40),"Re-engage now",IF(N(D164)&gt;=Settings!$B$6,"Investigate, then decide","Low value: batch or close")),IF(P164="Likely dead","Close out or recycle to nurture",IF(P164="Active","Leave: active",IF(P164="Check dates","Add dates",""))))</f>
        <v/>
      </c>
      <c r="S164" s="23">
        <f>IF(OR(R164="Re-engage now",R164="Investigate, then decide"),Q164+ROW()/1000000,"")</f>
        <v/>
      </c>
    </row>
    <row r="165">
      <c r="A165" s="24" t="n"/>
      <c r="B165" s="24" t="n"/>
      <c r="C165" s="24" t="n"/>
      <c r="D165" s="25" t="n"/>
      <c r="E165" s="26" t="n"/>
      <c r="F165" s="26" t="n"/>
      <c r="G165" s="26" t="n"/>
      <c r="H165" s="26" t="n"/>
      <c r="I165" s="26" t="n"/>
      <c r="J165" s="24" t="n"/>
      <c r="K165" s="24" t="n"/>
      <c r="L165" s="22">
        <f>IF(A165="","",IF(AND(F165="",E165=""),"",TODAY()-IF(F165="",E165,F165)))</f>
        <v/>
      </c>
      <c r="M165" s="22">
        <f>IF(OR(A165="",E165=""),"",TODAY()-E165)</f>
        <v/>
      </c>
      <c r="N165" s="22">
        <f>IF(OR(H165="",I165=""),"",I165-H165)</f>
        <v/>
      </c>
      <c r="O165" s="22">
        <f>IF(OR(F165="",G165=""),"",IF(G165-F165&gt;Settings!$B$8,"CRM activity, no buyer contact",""))</f>
        <v/>
      </c>
      <c r="P165" s="22">
        <f>IF(A165="","",IF(OR(C165="Closed won",C165="Closed lost"),"Closed",IF(L165="","Check dates",IF(L165&gt;=Settings!$B$5,"Likely dead",IF(L165&gt;=Settings!$B$4,"Dormant","Active")))))</f>
        <v/>
      </c>
      <c r="Q165" s="22">
        <f>IF(OR(P165="Dormant",P165="Likely dead"),ROUND(100*IFERROR(VLOOKUP(C165,Settings!$D$4:$E$8,2,FALSE),0.3)*MIN(1,N(D165)/Settings!$B$7)*IF(P165="Dormant",1-0.5*(L165-Settings!$B$4)/MAX(1,Settings!$B$5-Settings!$B$4),0.25),0),"")</f>
        <v/>
      </c>
      <c r="R165" s="22">
        <f>IF(P165="Dormant",IF(AND(N(D165)&gt;=Settings!$B$6,N(Q165)&gt;=40),"Re-engage now",IF(N(D165)&gt;=Settings!$B$6,"Investigate, then decide","Low value: batch or close")),IF(P165="Likely dead","Close out or recycle to nurture",IF(P165="Active","Leave: active",IF(P165="Check dates","Add dates",""))))</f>
        <v/>
      </c>
      <c r="S165" s="23">
        <f>IF(OR(R165="Re-engage now",R165="Investigate, then decide"),Q165+ROW()/1000000,"")</f>
        <v/>
      </c>
    </row>
    <row r="166">
      <c r="A166" s="24" t="n"/>
      <c r="B166" s="24" t="n"/>
      <c r="C166" s="24" t="n"/>
      <c r="D166" s="25" t="n"/>
      <c r="E166" s="26" t="n"/>
      <c r="F166" s="26" t="n"/>
      <c r="G166" s="26" t="n"/>
      <c r="H166" s="26" t="n"/>
      <c r="I166" s="26" t="n"/>
      <c r="J166" s="24" t="n"/>
      <c r="K166" s="24" t="n"/>
      <c r="L166" s="22">
        <f>IF(A166="","",IF(AND(F166="",E166=""),"",TODAY()-IF(F166="",E166,F166)))</f>
        <v/>
      </c>
      <c r="M166" s="22">
        <f>IF(OR(A166="",E166=""),"",TODAY()-E166)</f>
        <v/>
      </c>
      <c r="N166" s="22">
        <f>IF(OR(H166="",I166=""),"",I166-H166)</f>
        <v/>
      </c>
      <c r="O166" s="22">
        <f>IF(OR(F166="",G166=""),"",IF(G166-F166&gt;Settings!$B$8,"CRM activity, no buyer contact",""))</f>
        <v/>
      </c>
      <c r="P166" s="22">
        <f>IF(A166="","",IF(OR(C166="Closed won",C166="Closed lost"),"Closed",IF(L166="","Check dates",IF(L166&gt;=Settings!$B$5,"Likely dead",IF(L166&gt;=Settings!$B$4,"Dormant","Active")))))</f>
        <v/>
      </c>
      <c r="Q166" s="22">
        <f>IF(OR(P166="Dormant",P166="Likely dead"),ROUND(100*IFERROR(VLOOKUP(C166,Settings!$D$4:$E$8,2,FALSE),0.3)*MIN(1,N(D166)/Settings!$B$7)*IF(P166="Dormant",1-0.5*(L166-Settings!$B$4)/MAX(1,Settings!$B$5-Settings!$B$4),0.25),0),"")</f>
        <v/>
      </c>
      <c r="R166" s="22">
        <f>IF(P166="Dormant",IF(AND(N(D166)&gt;=Settings!$B$6,N(Q166)&gt;=40),"Re-engage now",IF(N(D166)&gt;=Settings!$B$6,"Investigate, then decide","Low value: batch or close")),IF(P166="Likely dead","Close out or recycle to nurture",IF(P166="Active","Leave: active",IF(P166="Check dates","Add dates",""))))</f>
        <v/>
      </c>
      <c r="S166" s="23">
        <f>IF(OR(R166="Re-engage now",R166="Investigate, then decide"),Q166+ROW()/1000000,"")</f>
        <v/>
      </c>
    </row>
    <row r="167">
      <c r="A167" s="24" t="n"/>
      <c r="B167" s="24" t="n"/>
      <c r="C167" s="24" t="n"/>
      <c r="D167" s="25" t="n"/>
      <c r="E167" s="26" t="n"/>
      <c r="F167" s="26" t="n"/>
      <c r="G167" s="26" t="n"/>
      <c r="H167" s="26" t="n"/>
      <c r="I167" s="26" t="n"/>
      <c r="J167" s="24" t="n"/>
      <c r="K167" s="24" t="n"/>
      <c r="L167" s="22">
        <f>IF(A167="","",IF(AND(F167="",E167=""),"",TODAY()-IF(F167="",E167,F167)))</f>
        <v/>
      </c>
      <c r="M167" s="22">
        <f>IF(OR(A167="",E167=""),"",TODAY()-E167)</f>
        <v/>
      </c>
      <c r="N167" s="22">
        <f>IF(OR(H167="",I167=""),"",I167-H167)</f>
        <v/>
      </c>
      <c r="O167" s="22">
        <f>IF(OR(F167="",G167=""),"",IF(G167-F167&gt;Settings!$B$8,"CRM activity, no buyer contact",""))</f>
        <v/>
      </c>
      <c r="P167" s="22">
        <f>IF(A167="","",IF(OR(C167="Closed won",C167="Closed lost"),"Closed",IF(L167="","Check dates",IF(L167&gt;=Settings!$B$5,"Likely dead",IF(L167&gt;=Settings!$B$4,"Dormant","Active")))))</f>
        <v/>
      </c>
      <c r="Q167" s="22">
        <f>IF(OR(P167="Dormant",P167="Likely dead"),ROUND(100*IFERROR(VLOOKUP(C167,Settings!$D$4:$E$8,2,FALSE),0.3)*MIN(1,N(D167)/Settings!$B$7)*IF(P167="Dormant",1-0.5*(L167-Settings!$B$4)/MAX(1,Settings!$B$5-Settings!$B$4),0.25),0),"")</f>
        <v/>
      </c>
      <c r="R167" s="22">
        <f>IF(P167="Dormant",IF(AND(N(D167)&gt;=Settings!$B$6,N(Q167)&gt;=40),"Re-engage now",IF(N(D167)&gt;=Settings!$B$6,"Investigate, then decide","Low value: batch or close")),IF(P167="Likely dead","Close out or recycle to nurture",IF(P167="Active","Leave: active",IF(P167="Check dates","Add dates",""))))</f>
        <v/>
      </c>
      <c r="S167" s="23">
        <f>IF(OR(R167="Re-engage now",R167="Investigate, then decide"),Q167+ROW()/1000000,"")</f>
        <v/>
      </c>
    </row>
    <row r="168">
      <c r="A168" s="24" t="n"/>
      <c r="B168" s="24" t="n"/>
      <c r="C168" s="24" t="n"/>
      <c r="D168" s="25" t="n"/>
      <c r="E168" s="26" t="n"/>
      <c r="F168" s="26" t="n"/>
      <c r="G168" s="26" t="n"/>
      <c r="H168" s="26" t="n"/>
      <c r="I168" s="26" t="n"/>
      <c r="J168" s="24" t="n"/>
      <c r="K168" s="24" t="n"/>
      <c r="L168" s="22">
        <f>IF(A168="","",IF(AND(F168="",E168=""),"",TODAY()-IF(F168="",E168,F168)))</f>
        <v/>
      </c>
      <c r="M168" s="22">
        <f>IF(OR(A168="",E168=""),"",TODAY()-E168)</f>
        <v/>
      </c>
      <c r="N168" s="22">
        <f>IF(OR(H168="",I168=""),"",I168-H168)</f>
        <v/>
      </c>
      <c r="O168" s="22">
        <f>IF(OR(F168="",G168=""),"",IF(G168-F168&gt;Settings!$B$8,"CRM activity, no buyer contact",""))</f>
        <v/>
      </c>
      <c r="P168" s="22">
        <f>IF(A168="","",IF(OR(C168="Closed won",C168="Closed lost"),"Closed",IF(L168="","Check dates",IF(L168&gt;=Settings!$B$5,"Likely dead",IF(L168&gt;=Settings!$B$4,"Dormant","Active")))))</f>
        <v/>
      </c>
      <c r="Q168" s="22">
        <f>IF(OR(P168="Dormant",P168="Likely dead"),ROUND(100*IFERROR(VLOOKUP(C168,Settings!$D$4:$E$8,2,FALSE),0.3)*MIN(1,N(D168)/Settings!$B$7)*IF(P168="Dormant",1-0.5*(L168-Settings!$B$4)/MAX(1,Settings!$B$5-Settings!$B$4),0.25),0),"")</f>
        <v/>
      </c>
      <c r="R168" s="22">
        <f>IF(P168="Dormant",IF(AND(N(D168)&gt;=Settings!$B$6,N(Q168)&gt;=40),"Re-engage now",IF(N(D168)&gt;=Settings!$B$6,"Investigate, then decide","Low value: batch or close")),IF(P168="Likely dead","Close out or recycle to nurture",IF(P168="Active","Leave: active",IF(P168="Check dates","Add dates",""))))</f>
        <v/>
      </c>
      <c r="S168" s="23">
        <f>IF(OR(R168="Re-engage now",R168="Investigate, then decide"),Q168+ROW()/1000000,"")</f>
        <v/>
      </c>
    </row>
    <row r="169">
      <c r="A169" s="24" t="n"/>
      <c r="B169" s="24" t="n"/>
      <c r="C169" s="24" t="n"/>
      <c r="D169" s="25" t="n"/>
      <c r="E169" s="26" t="n"/>
      <c r="F169" s="26" t="n"/>
      <c r="G169" s="26" t="n"/>
      <c r="H169" s="26" t="n"/>
      <c r="I169" s="26" t="n"/>
      <c r="J169" s="24" t="n"/>
      <c r="K169" s="24" t="n"/>
      <c r="L169" s="22">
        <f>IF(A169="","",IF(AND(F169="",E169=""),"",TODAY()-IF(F169="",E169,F169)))</f>
        <v/>
      </c>
      <c r="M169" s="22">
        <f>IF(OR(A169="",E169=""),"",TODAY()-E169)</f>
        <v/>
      </c>
      <c r="N169" s="22">
        <f>IF(OR(H169="",I169=""),"",I169-H169)</f>
        <v/>
      </c>
      <c r="O169" s="22">
        <f>IF(OR(F169="",G169=""),"",IF(G169-F169&gt;Settings!$B$8,"CRM activity, no buyer contact",""))</f>
        <v/>
      </c>
      <c r="P169" s="22">
        <f>IF(A169="","",IF(OR(C169="Closed won",C169="Closed lost"),"Closed",IF(L169="","Check dates",IF(L169&gt;=Settings!$B$5,"Likely dead",IF(L169&gt;=Settings!$B$4,"Dormant","Active")))))</f>
        <v/>
      </c>
      <c r="Q169" s="22">
        <f>IF(OR(P169="Dormant",P169="Likely dead"),ROUND(100*IFERROR(VLOOKUP(C169,Settings!$D$4:$E$8,2,FALSE),0.3)*MIN(1,N(D169)/Settings!$B$7)*IF(P169="Dormant",1-0.5*(L169-Settings!$B$4)/MAX(1,Settings!$B$5-Settings!$B$4),0.25),0),"")</f>
        <v/>
      </c>
      <c r="R169" s="22">
        <f>IF(P169="Dormant",IF(AND(N(D169)&gt;=Settings!$B$6,N(Q169)&gt;=40),"Re-engage now",IF(N(D169)&gt;=Settings!$B$6,"Investigate, then decide","Low value: batch or close")),IF(P169="Likely dead","Close out or recycle to nurture",IF(P169="Active","Leave: active",IF(P169="Check dates","Add dates",""))))</f>
        <v/>
      </c>
      <c r="S169" s="23">
        <f>IF(OR(R169="Re-engage now",R169="Investigate, then decide"),Q169+ROW()/1000000,"")</f>
        <v/>
      </c>
    </row>
    <row r="170">
      <c r="A170" s="24" t="n"/>
      <c r="B170" s="24" t="n"/>
      <c r="C170" s="24" t="n"/>
      <c r="D170" s="25" t="n"/>
      <c r="E170" s="26" t="n"/>
      <c r="F170" s="26" t="n"/>
      <c r="G170" s="26" t="n"/>
      <c r="H170" s="26" t="n"/>
      <c r="I170" s="26" t="n"/>
      <c r="J170" s="24" t="n"/>
      <c r="K170" s="24" t="n"/>
      <c r="L170" s="22">
        <f>IF(A170="","",IF(AND(F170="",E170=""),"",TODAY()-IF(F170="",E170,F170)))</f>
        <v/>
      </c>
      <c r="M170" s="22">
        <f>IF(OR(A170="",E170=""),"",TODAY()-E170)</f>
        <v/>
      </c>
      <c r="N170" s="22">
        <f>IF(OR(H170="",I170=""),"",I170-H170)</f>
        <v/>
      </c>
      <c r="O170" s="22">
        <f>IF(OR(F170="",G170=""),"",IF(G170-F170&gt;Settings!$B$8,"CRM activity, no buyer contact",""))</f>
        <v/>
      </c>
      <c r="P170" s="22">
        <f>IF(A170="","",IF(OR(C170="Closed won",C170="Closed lost"),"Closed",IF(L170="","Check dates",IF(L170&gt;=Settings!$B$5,"Likely dead",IF(L170&gt;=Settings!$B$4,"Dormant","Active")))))</f>
        <v/>
      </c>
      <c r="Q170" s="22">
        <f>IF(OR(P170="Dormant",P170="Likely dead"),ROUND(100*IFERROR(VLOOKUP(C170,Settings!$D$4:$E$8,2,FALSE),0.3)*MIN(1,N(D170)/Settings!$B$7)*IF(P170="Dormant",1-0.5*(L170-Settings!$B$4)/MAX(1,Settings!$B$5-Settings!$B$4),0.25),0),"")</f>
        <v/>
      </c>
      <c r="R170" s="22">
        <f>IF(P170="Dormant",IF(AND(N(D170)&gt;=Settings!$B$6,N(Q170)&gt;=40),"Re-engage now",IF(N(D170)&gt;=Settings!$B$6,"Investigate, then decide","Low value: batch or close")),IF(P170="Likely dead","Close out or recycle to nurture",IF(P170="Active","Leave: active",IF(P170="Check dates","Add dates",""))))</f>
        <v/>
      </c>
      <c r="S170" s="23">
        <f>IF(OR(R170="Re-engage now",R170="Investigate, then decide"),Q170+ROW()/1000000,"")</f>
        <v/>
      </c>
    </row>
    <row r="171">
      <c r="A171" s="24" t="n"/>
      <c r="B171" s="24" t="n"/>
      <c r="C171" s="24" t="n"/>
      <c r="D171" s="25" t="n"/>
      <c r="E171" s="26" t="n"/>
      <c r="F171" s="26" t="n"/>
      <c r="G171" s="26" t="n"/>
      <c r="H171" s="26" t="n"/>
      <c r="I171" s="26" t="n"/>
      <c r="J171" s="24" t="n"/>
      <c r="K171" s="24" t="n"/>
      <c r="L171" s="22">
        <f>IF(A171="","",IF(AND(F171="",E171=""),"",TODAY()-IF(F171="",E171,F171)))</f>
        <v/>
      </c>
      <c r="M171" s="22">
        <f>IF(OR(A171="",E171=""),"",TODAY()-E171)</f>
        <v/>
      </c>
      <c r="N171" s="22">
        <f>IF(OR(H171="",I171=""),"",I171-H171)</f>
        <v/>
      </c>
      <c r="O171" s="22">
        <f>IF(OR(F171="",G171=""),"",IF(G171-F171&gt;Settings!$B$8,"CRM activity, no buyer contact",""))</f>
        <v/>
      </c>
      <c r="P171" s="22">
        <f>IF(A171="","",IF(OR(C171="Closed won",C171="Closed lost"),"Closed",IF(L171="","Check dates",IF(L171&gt;=Settings!$B$5,"Likely dead",IF(L171&gt;=Settings!$B$4,"Dormant","Active")))))</f>
        <v/>
      </c>
      <c r="Q171" s="22">
        <f>IF(OR(P171="Dormant",P171="Likely dead"),ROUND(100*IFERROR(VLOOKUP(C171,Settings!$D$4:$E$8,2,FALSE),0.3)*MIN(1,N(D171)/Settings!$B$7)*IF(P171="Dormant",1-0.5*(L171-Settings!$B$4)/MAX(1,Settings!$B$5-Settings!$B$4),0.25),0),"")</f>
        <v/>
      </c>
      <c r="R171" s="22">
        <f>IF(P171="Dormant",IF(AND(N(D171)&gt;=Settings!$B$6,N(Q171)&gt;=40),"Re-engage now",IF(N(D171)&gt;=Settings!$B$6,"Investigate, then decide","Low value: batch or close")),IF(P171="Likely dead","Close out or recycle to nurture",IF(P171="Active","Leave: active",IF(P171="Check dates","Add dates",""))))</f>
        <v/>
      </c>
      <c r="S171" s="23">
        <f>IF(OR(R171="Re-engage now",R171="Investigate, then decide"),Q171+ROW()/1000000,"")</f>
        <v/>
      </c>
    </row>
    <row r="172">
      <c r="A172" s="24" t="n"/>
      <c r="B172" s="24" t="n"/>
      <c r="C172" s="24" t="n"/>
      <c r="D172" s="25" t="n"/>
      <c r="E172" s="26" t="n"/>
      <c r="F172" s="26" t="n"/>
      <c r="G172" s="26" t="n"/>
      <c r="H172" s="26" t="n"/>
      <c r="I172" s="26" t="n"/>
      <c r="J172" s="24" t="n"/>
      <c r="K172" s="24" t="n"/>
      <c r="L172" s="22">
        <f>IF(A172="","",IF(AND(F172="",E172=""),"",TODAY()-IF(F172="",E172,F172)))</f>
        <v/>
      </c>
      <c r="M172" s="22">
        <f>IF(OR(A172="",E172=""),"",TODAY()-E172)</f>
        <v/>
      </c>
      <c r="N172" s="22">
        <f>IF(OR(H172="",I172=""),"",I172-H172)</f>
        <v/>
      </c>
      <c r="O172" s="22">
        <f>IF(OR(F172="",G172=""),"",IF(G172-F172&gt;Settings!$B$8,"CRM activity, no buyer contact",""))</f>
        <v/>
      </c>
      <c r="P172" s="22">
        <f>IF(A172="","",IF(OR(C172="Closed won",C172="Closed lost"),"Closed",IF(L172="","Check dates",IF(L172&gt;=Settings!$B$5,"Likely dead",IF(L172&gt;=Settings!$B$4,"Dormant","Active")))))</f>
        <v/>
      </c>
      <c r="Q172" s="22">
        <f>IF(OR(P172="Dormant",P172="Likely dead"),ROUND(100*IFERROR(VLOOKUP(C172,Settings!$D$4:$E$8,2,FALSE),0.3)*MIN(1,N(D172)/Settings!$B$7)*IF(P172="Dormant",1-0.5*(L172-Settings!$B$4)/MAX(1,Settings!$B$5-Settings!$B$4),0.25),0),"")</f>
        <v/>
      </c>
      <c r="R172" s="22">
        <f>IF(P172="Dormant",IF(AND(N(D172)&gt;=Settings!$B$6,N(Q172)&gt;=40),"Re-engage now",IF(N(D172)&gt;=Settings!$B$6,"Investigate, then decide","Low value: batch or close")),IF(P172="Likely dead","Close out or recycle to nurture",IF(P172="Active","Leave: active",IF(P172="Check dates","Add dates",""))))</f>
        <v/>
      </c>
      <c r="S172" s="23">
        <f>IF(OR(R172="Re-engage now",R172="Investigate, then decide"),Q172+ROW()/1000000,"")</f>
        <v/>
      </c>
    </row>
    <row r="173">
      <c r="A173" s="24" t="n"/>
      <c r="B173" s="24" t="n"/>
      <c r="C173" s="24" t="n"/>
      <c r="D173" s="25" t="n"/>
      <c r="E173" s="26" t="n"/>
      <c r="F173" s="26" t="n"/>
      <c r="G173" s="26" t="n"/>
      <c r="H173" s="26" t="n"/>
      <c r="I173" s="26" t="n"/>
      <c r="J173" s="24" t="n"/>
      <c r="K173" s="24" t="n"/>
      <c r="L173" s="22">
        <f>IF(A173="","",IF(AND(F173="",E173=""),"",TODAY()-IF(F173="",E173,F173)))</f>
        <v/>
      </c>
      <c r="M173" s="22">
        <f>IF(OR(A173="",E173=""),"",TODAY()-E173)</f>
        <v/>
      </c>
      <c r="N173" s="22">
        <f>IF(OR(H173="",I173=""),"",I173-H173)</f>
        <v/>
      </c>
      <c r="O173" s="22">
        <f>IF(OR(F173="",G173=""),"",IF(G173-F173&gt;Settings!$B$8,"CRM activity, no buyer contact",""))</f>
        <v/>
      </c>
      <c r="P173" s="22">
        <f>IF(A173="","",IF(OR(C173="Closed won",C173="Closed lost"),"Closed",IF(L173="","Check dates",IF(L173&gt;=Settings!$B$5,"Likely dead",IF(L173&gt;=Settings!$B$4,"Dormant","Active")))))</f>
        <v/>
      </c>
      <c r="Q173" s="22">
        <f>IF(OR(P173="Dormant",P173="Likely dead"),ROUND(100*IFERROR(VLOOKUP(C173,Settings!$D$4:$E$8,2,FALSE),0.3)*MIN(1,N(D173)/Settings!$B$7)*IF(P173="Dormant",1-0.5*(L173-Settings!$B$4)/MAX(1,Settings!$B$5-Settings!$B$4),0.25),0),"")</f>
        <v/>
      </c>
      <c r="R173" s="22">
        <f>IF(P173="Dormant",IF(AND(N(D173)&gt;=Settings!$B$6,N(Q173)&gt;=40),"Re-engage now",IF(N(D173)&gt;=Settings!$B$6,"Investigate, then decide","Low value: batch or close")),IF(P173="Likely dead","Close out or recycle to nurture",IF(P173="Active","Leave: active",IF(P173="Check dates","Add dates",""))))</f>
        <v/>
      </c>
      <c r="S173" s="23">
        <f>IF(OR(R173="Re-engage now",R173="Investigate, then decide"),Q173+ROW()/1000000,"")</f>
        <v/>
      </c>
    </row>
    <row r="174">
      <c r="A174" s="24" t="n"/>
      <c r="B174" s="24" t="n"/>
      <c r="C174" s="24" t="n"/>
      <c r="D174" s="25" t="n"/>
      <c r="E174" s="26" t="n"/>
      <c r="F174" s="26" t="n"/>
      <c r="G174" s="26" t="n"/>
      <c r="H174" s="26" t="n"/>
      <c r="I174" s="26" t="n"/>
      <c r="J174" s="24" t="n"/>
      <c r="K174" s="24" t="n"/>
      <c r="L174" s="22">
        <f>IF(A174="","",IF(AND(F174="",E174=""),"",TODAY()-IF(F174="",E174,F174)))</f>
        <v/>
      </c>
      <c r="M174" s="22">
        <f>IF(OR(A174="",E174=""),"",TODAY()-E174)</f>
        <v/>
      </c>
      <c r="N174" s="22">
        <f>IF(OR(H174="",I174=""),"",I174-H174)</f>
        <v/>
      </c>
      <c r="O174" s="22">
        <f>IF(OR(F174="",G174=""),"",IF(G174-F174&gt;Settings!$B$8,"CRM activity, no buyer contact",""))</f>
        <v/>
      </c>
      <c r="P174" s="22">
        <f>IF(A174="","",IF(OR(C174="Closed won",C174="Closed lost"),"Closed",IF(L174="","Check dates",IF(L174&gt;=Settings!$B$5,"Likely dead",IF(L174&gt;=Settings!$B$4,"Dormant","Active")))))</f>
        <v/>
      </c>
      <c r="Q174" s="22">
        <f>IF(OR(P174="Dormant",P174="Likely dead"),ROUND(100*IFERROR(VLOOKUP(C174,Settings!$D$4:$E$8,2,FALSE),0.3)*MIN(1,N(D174)/Settings!$B$7)*IF(P174="Dormant",1-0.5*(L174-Settings!$B$4)/MAX(1,Settings!$B$5-Settings!$B$4),0.25),0),"")</f>
        <v/>
      </c>
      <c r="R174" s="22">
        <f>IF(P174="Dormant",IF(AND(N(D174)&gt;=Settings!$B$6,N(Q174)&gt;=40),"Re-engage now",IF(N(D174)&gt;=Settings!$B$6,"Investigate, then decide","Low value: batch or close")),IF(P174="Likely dead","Close out or recycle to nurture",IF(P174="Active","Leave: active",IF(P174="Check dates","Add dates",""))))</f>
        <v/>
      </c>
      <c r="S174" s="23">
        <f>IF(OR(R174="Re-engage now",R174="Investigate, then decide"),Q174+ROW()/1000000,"")</f>
        <v/>
      </c>
    </row>
    <row r="175">
      <c r="A175" s="24" t="n"/>
      <c r="B175" s="24" t="n"/>
      <c r="C175" s="24" t="n"/>
      <c r="D175" s="25" t="n"/>
      <c r="E175" s="26" t="n"/>
      <c r="F175" s="26" t="n"/>
      <c r="G175" s="26" t="n"/>
      <c r="H175" s="26" t="n"/>
      <c r="I175" s="26" t="n"/>
      <c r="J175" s="24" t="n"/>
      <c r="K175" s="24" t="n"/>
      <c r="L175" s="22">
        <f>IF(A175="","",IF(AND(F175="",E175=""),"",TODAY()-IF(F175="",E175,F175)))</f>
        <v/>
      </c>
      <c r="M175" s="22">
        <f>IF(OR(A175="",E175=""),"",TODAY()-E175)</f>
        <v/>
      </c>
      <c r="N175" s="22">
        <f>IF(OR(H175="",I175=""),"",I175-H175)</f>
        <v/>
      </c>
      <c r="O175" s="22">
        <f>IF(OR(F175="",G175=""),"",IF(G175-F175&gt;Settings!$B$8,"CRM activity, no buyer contact",""))</f>
        <v/>
      </c>
      <c r="P175" s="22">
        <f>IF(A175="","",IF(OR(C175="Closed won",C175="Closed lost"),"Closed",IF(L175="","Check dates",IF(L175&gt;=Settings!$B$5,"Likely dead",IF(L175&gt;=Settings!$B$4,"Dormant","Active")))))</f>
        <v/>
      </c>
      <c r="Q175" s="22">
        <f>IF(OR(P175="Dormant",P175="Likely dead"),ROUND(100*IFERROR(VLOOKUP(C175,Settings!$D$4:$E$8,2,FALSE),0.3)*MIN(1,N(D175)/Settings!$B$7)*IF(P175="Dormant",1-0.5*(L175-Settings!$B$4)/MAX(1,Settings!$B$5-Settings!$B$4),0.25),0),"")</f>
        <v/>
      </c>
      <c r="R175" s="22">
        <f>IF(P175="Dormant",IF(AND(N(D175)&gt;=Settings!$B$6,N(Q175)&gt;=40),"Re-engage now",IF(N(D175)&gt;=Settings!$B$6,"Investigate, then decide","Low value: batch or close")),IF(P175="Likely dead","Close out or recycle to nurture",IF(P175="Active","Leave: active",IF(P175="Check dates","Add dates",""))))</f>
        <v/>
      </c>
      <c r="S175" s="23">
        <f>IF(OR(R175="Re-engage now",R175="Investigate, then decide"),Q175+ROW()/1000000,"")</f>
        <v/>
      </c>
    </row>
    <row r="176">
      <c r="A176" s="24" t="n"/>
      <c r="B176" s="24" t="n"/>
      <c r="C176" s="24" t="n"/>
      <c r="D176" s="25" t="n"/>
      <c r="E176" s="26" t="n"/>
      <c r="F176" s="26" t="n"/>
      <c r="G176" s="26" t="n"/>
      <c r="H176" s="26" t="n"/>
      <c r="I176" s="26" t="n"/>
      <c r="J176" s="24" t="n"/>
      <c r="K176" s="24" t="n"/>
      <c r="L176" s="22">
        <f>IF(A176="","",IF(AND(F176="",E176=""),"",TODAY()-IF(F176="",E176,F176)))</f>
        <v/>
      </c>
      <c r="M176" s="22">
        <f>IF(OR(A176="",E176=""),"",TODAY()-E176)</f>
        <v/>
      </c>
      <c r="N176" s="22">
        <f>IF(OR(H176="",I176=""),"",I176-H176)</f>
        <v/>
      </c>
      <c r="O176" s="22">
        <f>IF(OR(F176="",G176=""),"",IF(G176-F176&gt;Settings!$B$8,"CRM activity, no buyer contact",""))</f>
        <v/>
      </c>
      <c r="P176" s="22">
        <f>IF(A176="","",IF(OR(C176="Closed won",C176="Closed lost"),"Closed",IF(L176="","Check dates",IF(L176&gt;=Settings!$B$5,"Likely dead",IF(L176&gt;=Settings!$B$4,"Dormant","Active")))))</f>
        <v/>
      </c>
      <c r="Q176" s="22">
        <f>IF(OR(P176="Dormant",P176="Likely dead"),ROUND(100*IFERROR(VLOOKUP(C176,Settings!$D$4:$E$8,2,FALSE),0.3)*MIN(1,N(D176)/Settings!$B$7)*IF(P176="Dormant",1-0.5*(L176-Settings!$B$4)/MAX(1,Settings!$B$5-Settings!$B$4),0.25),0),"")</f>
        <v/>
      </c>
      <c r="R176" s="22">
        <f>IF(P176="Dormant",IF(AND(N(D176)&gt;=Settings!$B$6,N(Q176)&gt;=40),"Re-engage now",IF(N(D176)&gt;=Settings!$B$6,"Investigate, then decide","Low value: batch or close")),IF(P176="Likely dead","Close out or recycle to nurture",IF(P176="Active","Leave: active",IF(P176="Check dates","Add dates",""))))</f>
        <v/>
      </c>
      <c r="S176" s="23">
        <f>IF(OR(R176="Re-engage now",R176="Investigate, then decide"),Q176+ROW()/1000000,"")</f>
        <v/>
      </c>
    </row>
    <row r="177">
      <c r="A177" s="24" t="n"/>
      <c r="B177" s="24" t="n"/>
      <c r="C177" s="24" t="n"/>
      <c r="D177" s="25" t="n"/>
      <c r="E177" s="26" t="n"/>
      <c r="F177" s="26" t="n"/>
      <c r="G177" s="26" t="n"/>
      <c r="H177" s="26" t="n"/>
      <c r="I177" s="26" t="n"/>
      <c r="J177" s="24" t="n"/>
      <c r="K177" s="24" t="n"/>
      <c r="L177" s="22">
        <f>IF(A177="","",IF(AND(F177="",E177=""),"",TODAY()-IF(F177="",E177,F177)))</f>
        <v/>
      </c>
      <c r="M177" s="22">
        <f>IF(OR(A177="",E177=""),"",TODAY()-E177)</f>
        <v/>
      </c>
      <c r="N177" s="22">
        <f>IF(OR(H177="",I177=""),"",I177-H177)</f>
        <v/>
      </c>
      <c r="O177" s="22">
        <f>IF(OR(F177="",G177=""),"",IF(G177-F177&gt;Settings!$B$8,"CRM activity, no buyer contact",""))</f>
        <v/>
      </c>
      <c r="P177" s="22">
        <f>IF(A177="","",IF(OR(C177="Closed won",C177="Closed lost"),"Closed",IF(L177="","Check dates",IF(L177&gt;=Settings!$B$5,"Likely dead",IF(L177&gt;=Settings!$B$4,"Dormant","Active")))))</f>
        <v/>
      </c>
      <c r="Q177" s="22">
        <f>IF(OR(P177="Dormant",P177="Likely dead"),ROUND(100*IFERROR(VLOOKUP(C177,Settings!$D$4:$E$8,2,FALSE),0.3)*MIN(1,N(D177)/Settings!$B$7)*IF(P177="Dormant",1-0.5*(L177-Settings!$B$4)/MAX(1,Settings!$B$5-Settings!$B$4),0.25),0),"")</f>
        <v/>
      </c>
      <c r="R177" s="22">
        <f>IF(P177="Dormant",IF(AND(N(D177)&gt;=Settings!$B$6,N(Q177)&gt;=40),"Re-engage now",IF(N(D177)&gt;=Settings!$B$6,"Investigate, then decide","Low value: batch or close")),IF(P177="Likely dead","Close out or recycle to nurture",IF(P177="Active","Leave: active",IF(P177="Check dates","Add dates",""))))</f>
        <v/>
      </c>
      <c r="S177" s="23">
        <f>IF(OR(R177="Re-engage now",R177="Investigate, then decide"),Q177+ROW()/1000000,"")</f>
        <v/>
      </c>
    </row>
    <row r="178">
      <c r="A178" s="24" t="n"/>
      <c r="B178" s="24" t="n"/>
      <c r="C178" s="24" t="n"/>
      <c r="D178" s="25" t="n"/>
      <c r="E178" s="26" t="n"/>
      <c r="F178" s="26" t="n"/>
      <c r="G178" s="26" t="n"/>
      <c r="H178" s="26" t="n"/>
      <c r="I178" s="26" t="n"/>
      <c r="J178" s="24" t="n"/>
      <c r="K178" s="24" t="n"/>
      <c r="L178" s="22">
        <f>IF(A178="","",IF(AND(F178="",E178=""),"",TODAY()-IF(F178="",E178,F178)))</f>
        <v/>
      </c>
      <c r="M178" s="22">
        <f>IF(OR(A178="",E178=""),"",TODAY()-E178)</f>
        <v/>
      </c>
      <c r="N178" s="22">
        <f>IF(OR(H178="",I178=""),"",I178-H178)</f>
        <v/>
      </c>
      <c r="O178" s="22">
        <f>IF(OR(F178="",G178=""),"",IF(G178-F178&gt;Settings!$B$8,"CRM activity, no buyer contact",""))</f>
        <v/>
      </c>
      <c r="P178" s="22">
        <f>IF(A178="","",IF(OR(C178="Closed won",C178="Closed lost"),"Closed",IF(L178="","Check dates",IF(L178&gt;=Settings!$B$5,"Likely dead",IF(L178&gt;=Settings!$B$4,"Dormant","Active")))))</f>
        <v/>
      </c>
      <c r="Q178" s="22">
        <f>IF(OR(P178="Dormant",P178="Likely dead"),ROUND(100*IFERROR(VLOOKUP(C178,Settings!$D$4:$E$8,2,FALSE),0.3)*MIN(1,N(D178)/Settings!$B$7)*IF(P178="Dormant",1-0.5*(L178-Settings!$B$4)/MAX(1,Settings!$B$5-Settings!$B$4),0.25),0),"")</f>
        <v/>
      </c>
      <c r="R178" s="22">
        <f>IF(P178="Dormant",IF(AND(N(D178)&gt;=Settings!$B$6,N(Q178)&gt;=40),"Re-engage now",IF(N(D178)&gt;=Settings!$B$6,"Investigate, then decide","Low value: batch or close")),IF(P178="Likely dead","Close out or recycle to nurture",IF(P178="Active","Leave: active",IF(P178="Check dates","Add dates",""))))</f>
        <v/>
      </c>
      <c r="S178" s="23">
        <f>IF(OR(R178="Re-engage now",R178="Investigate, then decide"),Q178+ROW()/1000000,"")</f>
        <v/>
      </c>
    </row>
    <row r="179">
      <c r="A179" s="24" t="n"/>
      <c r="B179" s="24" t="n"/>
      <c r="C179" s="24" t="n"/>
      <c r="D179" s="25" t="n"/>
      <c r="E179" s="26" t="n"/>
      <c r="F179" s="26" t="n"/>
      <c r="G179" s="26" t="n"/>
      <c r="H179" s="26" t="n"/>
      <c r="I179" s="26" t="n"/>
      <c r="J179" s="24" t="n"/>
      <c r="K179" s="24" t="n"/>
      <c r="L179" s="22">
        <f>IF(A179="","",IF(AND(F179="",E179=""),"",TODAY()-IF(F179="",E179,F179)))</f>
        <v/>
      </c>
      <c r="M179" s="22">
        <f>IF(OR(A179="",E179=""),"",TODAY()-E179)</f>
        <v/>
      </c>
      <c r="N179" s="22">
        <f>IF(OR(H179="",I179=""),"",I179-H179)</f>
        <v/>
      </c>
      <c r="O179" s="22">
        <f>IF(OR(F179="",G179=""),"",IF(G179-F179&gt;Settings!$B$8,"CRM activity, no buyer contact",""))</f>
        <v/>
      </c>
      <c r="P179" s="22">
        <f>IF(A179="","",IF(OR(C179="Closed won",C179="Closed lost"),"Closed",IF(L179="","Check dates",IF(L179&gt;=Settings!$B$5,"Likely dead",IF(L179&gt;=Settings!$B$4,"Dormant","Active")))))</f>
        <v/>
      </c>
      <c r="Q179" s="22">
        <f>IF(OR(P179="Dormant",P179="Likely dead"),ROUND(100*IFERROR(VLOOKUP(C179,Settings!$D$4:$E$8,2,FALSE),0.3)*MIN(1,N(D179)/Settings!$B$7)*IF(P179="Dormant",1-0.5*(L179-Settings!$B$4)/MAX(1,Settings!$B$5-Settings!$B$4),0.25),0),"")</f>
        <v/>
      </c>
      <c r="R179" s="22">
        <f>IF(P179="Dormant",IF(AND(N(D179)&gt;=Settings!$B$6,N(Q179)&gt;=40),"Re-engage now",IF(N(D179)&gt;=Settings!$B$6,"Investigate, then decide","Low value: batch or close")),IF(P179="Likely dead","Close out or recycle to nurture",IF(P179="Active","Leave: active",IF(P179="Check dates","Add dates",""))))</f>
        <v/>
      </c>
      <c r="S179" s="23">
        <f>IF(OR(R179="Re-engage now",R179="Investigate, then decide"),Q179+ROW()/1000000,"")</f>
        <v/>
      </c>
    </row>
    <row r="180">
      <c r="A180" s="24" t="n"/>
      <c r="B180" s="24" t="n"/>
      <c r="C180" s="24" t="n"/>
      <c r="D180" s="25" t="n"/>
      <c r="E180" s="26" t="n"/>
      <c r="F180" s="26" t="n"/>
      <c r="G180" s="26" t="n"/>
      <c r="H180" s="26" t="n"/>
      <c r="I180" s="26" t="n"/>
      <c r="J180" s="24" t="n"/>
      <c r="K180" s="24" t="n"/>
      <c r="L180" s="22">
        <f>IF(A180="","",IF(AND(F180="",E180=""),"",TODAY()-IF(F180="",E180,F180)))</f>
        <v/>
      </c>
      <c r="M180" s="22">
        <f>IF(OR(A180="",E180=""),"",TODAY()-E180)</f>
        <v/>
      </c>
      <c r="N180" s="22">
        <f>IF(OR(H180="",I180=""),"",I180-H180)</f>
        <v/>
      </c>
      <c r="O180" s="22">
        <f>IF(OR(F180="",G180=""),"",IF(G180-F180&gt;Settings!$B$8,"CRM activity, no buyer contact",""))</f>
        <v/>
      </c>
      <c r="P180" s="22">
        <f>IF(A180="","",IF(OR(C180="Closed won",C180="Closed lost"),"Closed",IF(L180="","Check dates",IF(L180&gt;=Settings!$B$5,"Likely dead",IF(L180&gt;=Settings!$B$4,"Dormant","Active")))))</f>
        <v/>
      </c>
      <c r="Q180" s="22">
        <f>IF(OR(P180="Dormant",P180="Likely dead"),ROUND(100*IFERROR(VLOOKUP(C180,Settings!$D$4:$E$8,2,FALSE),0.3)*MIN(1,N(D180)/Settings!$B$7)*IF(P180="Dormant",1-0.5*(L180-Settings!$B$4)/MAX(1,Settings!$B$5-Settings!$B$4),0.25),0),"")</f>
        <v/>
      </c>
      <c r="R180" s="22">
        <f>IF(P180="Dormant",IF(AND(N(D180)&gt;=Settings!$B$6,N(Q180)&gt;=40),"Re-engage now",IF(N(D180)&gt;=Settings!$B$6,"Investigate, then decide","Low value: batch or close")),IF(P180="Likely dead","Close out or recycle to nurture",IF(P180="Active","Leave: active",IF(P180="Check dates","Add dates",""))))</f>
        <v/>
      </c>
      <c r="S180" s="23">
        <f>IF(OR(R180="Re-engage now",R180="Investigate, then decide"),Q180+ROW()/1000000,"")</f>
        <v/>
      </c>
    </row>
    <row r="181">
      <c r="A181" s="24" t="n"/>
      <c r="B181" s="24" t="n"/>
      <c r="C181" s="24" t="n"/>
      <c r="D181" s="25" t="n"/>
      <c r="E181" s="26" t="n"/>
      <c r="F181" s="26" t="n"/>
      <c r="G181" s="26" t="n"/>
      <c r="H181" s="26" t="n"/>
      <c r="I181" s="26" t="n"/>
      <c r="J181" s="24" t="n"/>
      <c r="K181" s="24" t="n"/>
      <c r="L181" s="22">
        <f>IF(A181="","",IF(AND(F181="",E181=""),"",TODAY()-IF(F181="",E181,F181)))</f>
        <v/>
      </c>
      <c r="M181" s="22">
        <f>IF(OR(A181="",E181=""),"",TODAY()-E181)</f>
        <v/>
      </c>
      <c r="N181" s="22">
        <f>IF(OR(H181="",I181=""),"",I181-H181)</f>
        <v/>
      </c>
      <c r="O181" s="22">
        <f>IF(OR(F181="",G181=""),"",IF(G181-F181&gt;Settings!$B$8,"CRM activity, no buyer contact",""))</f>
        <v/>
      </c>
      <c r="P181" s="22">
        <f>IF(A181="","",IF(OR(C181="Closed won",C181="Closed lost"),"Closed",IF(L181="","Check dates",IF(L181&gt;=Settings!$B$5,"Likely dead",IF(L181&gt;=Settings!$B$4,"Dormant","Active")))))</f>
        <v/>
      </c>
      <c r="Q181" s="22">
        <f>IF(OR(P181="Dormant",P181="Likely dead"),ROUND(100*IFERROR(VLOOKUP(C181,Settings!$D$4:$E$8,2,FALSE),0.3)*MIN(1,N(D181)/Settings!$B$7)*IF(P181="Dormant",1-0.5*(L181-Settings!$B$4)/MAX(1,Settings!$B$5-Settings!$B$4),0.25),0),"")</f>
        <v/>
      </c>
      <c r="R181" s="22">
        <f>IF(P181="Dormant",IF(AND(N(D181)&gt;=Settings!$B$6,N(Q181)&gt;=40),"Re-engage now",IF(N(D181)&gt;=Settings!$B$6,"Investigate, then decide","Low value: batch or close")),IF(P181="Likely dead","Close out or recycle to nurture",IF(P181="Active","Leave: active",IF(P181="Check dates","Add dates",""))))</f>
        <v/>
      </c>
      <c r="S181" s="23">
        <f>IF(OR(R181="Re-engage now",R181="Investigate, then decide"),Q181+ROW()/1000000,"")</f>
        <v/>
      </c>
    </row>
    <row r="182">
      <c r="A182" s="24" t="n"/>
      <c r="B182" s="24" t="n"/>
      <c r="C182" s="24" t="n"/>
      <c r="D182" s="25" t="n"/>
      <c r="E182" s="26" t="n"/>
      <c r="F182" s="26" t="n"/>
      <c r="G182" s="26" t="n"/>
      <c r="H182" s="26" t="n"/>
      <c r="I182" s="26" t="n"/>
      <c r="J182" s="24" t="n"/>
      <c r="K182" s="24" t="n"/>
      <c r="L182" s="22">
        <f>IF(A182="","",IF(AND(F182="",E182=""),"",TODAY()-IF(F182="",E182,F182)))</f>
        <v/>
      </c>
      <c r="M182" s="22">
        <f>IF(OR(A182="",E182=""),"",TODAY()-E182)</f>
        <v/>
      </c>
      <c r="N182" s="22">
        <f>IF(OR(H182="",I182=""),"",I182-H182)</f>
        <v/>
      </c>
      <c r="O182" s="22">
        <f>IF(OR(F182="",G182=""),"",IF(G182-F182&gt;Settings!$B$8,"CRM activity, no buyer contact",""))</f>
        <v/>
      </c>
      <c r="P182" s="22">
        <f>IF(A182="","",IF(OR(C182="Closed won",C182="Closed lost"),"Closed",IF(L182="","Check dates",IF(L182&gt;=Settings!$B$5,"Likely dead",IF(L182&gt;=Settings!$B$4,"Dormant","Active")))))</f>
        <v/>
      </c>
      <c r="Q182" s="22">
        <f>IF(OR(P182="Dormant",P182="Likely dead"),ROUND(100*IFERROR(VLOOKUP(C182,Settings!$D$4:$E$8,2,FALSE),0.3)*MIN(1,N(D182)/Settings!$B$7)*IF(P182="Dormant",1-0.5*(L182-Settings!$B$4)/MAX(1,Settings!$B$5-Settings!$B$4),0.25),0),"")</f>
        <v/>
      </c>
      <c r="R182" s="22">
        <f>IF(P182="Dormant",IF(AND(N(D182)&gt;=Settings!$B$6,N(Q182)&gt;=40),"Re-engage now",IF(N(D182)&gt;=Settings!$B$6,"Investigate, then decide","Low value: batch or close")),IF(P182="Likely dead","Close out or recycle to nurture",IF(P182="Active","Leave: active",IF(P182="Check dates","Add dates",""))))</f>
        <v/>
      </c>
      <c r="S182" s="23">
        <f>IF(OR(R182="Re-engage now",R182="Investigate, then decide"),Q182+ROW()/1000000,"")</f>
        <v/>
      </c>
    </row>
    <row r="183">
      <c r="A183" s="24" t="n"/>
      <c r="B183" s="24" t="n"/>
      <c r="C183" s="24" t="n"/>
      <c r="D183" s="25" t="n"/>
      <c r="E183" s="26" t="n"/>
      <c r="F183" s="26" t="n"/>
      <c r="G183" s="26" t="n"/>
      <c r="H183" s="26" t="n"/>
      <c r="I183" s="26" t="n"/>
      <c r="J183" s="24" t="n"/>
      <c r="K183" s="24" t="n"/>
      <c r="L183" s="22">
        <f>IF(A183="","",IF(AND(F183="",E183=""),"",TODAY()-IF(F183="",E183,F183)))</f>
        <v/>
      </c>
      <c r="M183" s="22">
        <f>IF(OR(A183="",E183=""),"",TODAY()-E183)</f>
        <v/>
      </c>
      <c r="N183" s="22">
        <f>IF(OR(H183="",I183=""),"",I183-H183)</f>
        <v/>
      </c>
      <c r="O183" s="22">
        <f>IF(OR(F183="",G183=""),"",IF(G183-F183&gt;Settings!$B$8,"CRM activity, no buyer contact",""))</f>
        <v/>
      </c>
      <c r="P183" s="22">
        <f>IF(A183="","",IF(OR(C183="Closed won",C183="Closed lost"),"Closed",IF(L183="","Check dates",IF(L183&gt;=Settings!$B$5,"Likely dead",IF(L183&gt;=Settings!$B$4,"Dormant","Active")))))</f>
        <v/>
      </c>
      <c r="Q183" s="22">
        <f>IF(OR(P183="Dormant",P183="Likely dead"),ROUND(100*IFERROR(VLOOKUP(C183,Settings!$D$4:$E$8,2,FALSE),0.3)*MIN(1,N(D183)/Settings!$B$7)*IF(P183="Dormant",1-0.5*(L183-Settings!$B$4)/MAX(1,Settings!$B$5-Settings!$B$4),0.25),0),"")</f>
        <v/>
      </c>
      <c r="R183" s="22">
        <f>IF(P183="Dormant",IF(AND(N(D183)&gt;=Settings!$B$6,N(Q183)&gt;=40),"Re-engage now",IF(N(D183)&gt;=Settings!$B$6,"Investigate, then decide","Low value: batch or close")),IF(P183="Likely dead","Close out or recycle to nurture",IF(P183="Active","Leave: active",IF(P183="Check dates","Add dates",""))))</f>
        <v/>
      </c>
      <c r="S183" s="23">
        <f>IF(OR(R183="Re-engage now",R183="Investigate, then decide"),Q183+ROW()/1000000,"")</f>
        <v/>
      </c>
    </row>
    <row r="184">
      <c r="A184" s="24" t="n"/>
      <c r="B184" s="24" t="n"/>
      <c r="C184" s="24" t="n"/>
      <c r="D184" s="25" t="n"/>
      <c r="E184" s="26" t="n"/>
      <c r="F184" s="26" t="n"/>
      <c r="G184" s="26" t="n"/>
      <c r="H184" s="26" t="n"/>
      <c r="I184" s="26" t="n"/>
      <c r="J184" s="24" t="n"/>
      <c r="K184" s="24" t="n"/>
      <c r="L184" s="22">
        <f>IF(A184="","",IF(AND(F184="",E184=""),"",TODAY()-IF(F184="",E184,F184)))</f>
        <v/>
      </c>
      <c r="M184" s="22">
        <f>IF(OR(A184="",E184=""),"",TODAY()-E184)</f>
        <v/>
      </c>
      <c r="N184" s="22">
        <f>IF(OR(H184="",I184=""),"",I184-H184)</f>
        <v/>
      </c>
      <c r="O184" s="22">
        <f>IF(OR(F184="",G184=""),"",IF(G184-F184&gt;Settings!$B$8,"CRM activity, no buyer contact",""))</f>
        <v/>
      </c>
      <c r="P184" s="22">
        <f>IF(A184="","",IF(OR(C184="Closed won",C184="Closed lost"),"Closed",IF(L184="","Check dates",IF(L184&gt;=Settings!$B$5,"Likely dead",IF(L184&gt;=Settings!$B$4,"Dormant","Active")))))</f>
        <v/>
      </c>
      <c r="Q184" s="22">
        <f>IF(OR(P184="Dormant",P184="Likely dead"),ROUND(100*IFERROR(VLOOKUP(C184,Settings!$D$4:$E$8,2,FALSE),0.3)*MIN(1,N(D184)/Settings!$B$7)*IF(P184="Dormant",1-0.5*(L184-Settings!$B$4)/MAX(1,Settings!$B$5-Settings!$B$4),0.25),0),"")</f>
        <v/>
      </c>
      <c r="R184" s="22">
        <f>IF(P184="Dormant",IF(AND(N(D184)&gt;=Settings!$B$6,N(Q184)&gt;=40),"Re-engage now",IF(N(D184)&gt;=Settings!$B$6,"Investigate, then decide","Low value: batch or close")),IF(P184="Likely dead","Close out or recycle to nurture",IF(P184="Active","Leave: active",IF(P184="Check dates","Add dates",""))))</f>
        <v/>
      </c>
      <c r="S184" s="23">
        <f>IF(OR(R184="Re-engage now",R184="Investigate, then decide"),Q184+ROW()/1000000,"")</f>
        <v/>
      </c>
    </row>
    <row r="185">
      <c r="A185" s="24" t="n"/>
      <c r="B185" s="24" t="n"/>
      <c r="C185" s="24" t="n"/>
      <c r="D185" s="25" t="n"/>
      <c r="E185" s="26" t="n"/>
      <c r="F185" s="26" t="n"/>
      <c r="G185" s="26" t="n"/>
      <c r="H185" s="26" t="n"/>
      <c r="I185" s="26" t="n"/>
      <c r="J185" s="24" t="n"/>
      <c r="K185" s="24" t="n"/>
      <c r="L185" s="22">
        <f>IF(A185="","",IF(AND(F185="",E185=""),"",TODAY()-IF(F185="",E185,F185)))</f>
        <v/>
      </c>
      <c r="M185" s="22">
        <f>IF(OR(A185="",E185=""),"",TODAY()-E185)</f>
        <v/>
      </c>
      <c r="N185" s="22">
        <f>IF(OR(H185="",I185=""),"",I185-H185)</f>
        <v/>
      </c>
      <c r="O185" s="22">
        <f>IF(OR(F185="",G185=""),"",IF(G185-F185&gt;Settings!$B$8,"CRM activity, no buyer contact",""))</f>
        <v/>
      </c>
      <c r="P185" s="22">
        <f>IF(A185="","",IF(OR(C185="Closed won",C185="Closed lost"),"Closed",IF(L185="","Check dates",IF(L185&gt;=Settings!$B$5,"Likely dead",IF(L185&gt;=Settings!$B$4,"Dormant","Active")))))</f>
        <v/>
      </c>
      <c r="Q185" s="22">
        <f>IF(OR(P185="Dormant",P185="Likely dead"),ROUND(100*IFERROR(VLOOKUP(C185,Settings!$D$4:$E$8,2,FALSE),0.3)*MIN(1,N(D185)/Settings!$B$7)*IF(P185="Dormant",1-0.5*(L185-Settings!$B$4)/MAX(1,Settings!$B$5-Settings!$B$4),0.25),0),"")</f>
        <v/>
      </c>
      <c r="R185" s="22">
        <f>IF(P185="Dormant",IF(AND(N(D185)&gt;=Settings!$B$6,N(Q185)&gt;=40),"Re-engage now",IF(N(D185)&gt;=Settings!$B$6,"Investigate, then decide","Low value: batch or close")),IF(P185="Likely dead","Close out or recycle to nurture",IF(P185="Active","Leave: active",IF(P185="Check dates","Add dates",""))))</f>
        <v/>
      </c>
      <c r="S185" s="23">
        <f>IF(OR(R185="Re-engage now",R185="Investigate, then decide"),Q185+ROW()/1000000,"")</f>
        <v/>
      </c>
    </row>
    <row r="186">
      <c r="A186" s="24" t="n"/>
      <c r="B186" s="24" t="n"/>
      <c r="C186" s="24" t="n"/>
      <c r="D186" s="25" t="n"/>
      <c r="E186" s="26" t="n"/>
      <c r="F186" s="26" t="n"/>
      <c r="G186" s="26" t="n"/>
      <c r="H186" s="26" t="n"/>
      <c r="I186" s="26" t="n"/>
      <c r="J186" s="24" t="n"/>
      <c r="K186" s="24" t="n"/>
      <c r="L186" s="22">
        <f>IF(A186="","",IF(AND(F186="",E186=""),"",TODAY()-IF(F186="",E186,F186)))</f>
        <v/>
      </c>
      <c r="M186" s="22">
        <f>IF(OR(A186="",E186=""),"",TODAY()-E186)</f>
        <v/>
      </c>
      <c r="N186" s="22">
        <f>IF(OR(H186="",I186=""),"",I186-H186)</f>
        <v/>
      </c>
      <c r="O186" s="22">
        <f>IF(OR(F186="",G186=""),"",IF(G186-F186&gt;Settings!$B$8,"CRM activity, no buyer contact",""))</f>
        <v/>
      </c>
      <c r="P186" s="22">
        <f>IF(A186="","",IF(OR(C186="Closed won",C186="Closed lost"),"Closed",IF(L186="","Check dates",IF(L186&gt;=Settings!$B$5,"Likely dead",IF(L186&gt;=Settings!$B$4,"Dormant","Active")))))</f>
        <v/>
      </c>
      <c r="Q186" s="22">
        <f>IF(OR(P186="Dormant",P186="Likely dead"),ROUND(100*IFERROR(VLOOKUP(C186,Settings!$D$4:$E$8,2,FALSE),0.3)*MIN(1,N(D186)/Settings!$B$7)*IF(P186="Dormant",1-0.5*(L186-Settings!$B$4)/MAX(1,Settings!$B$5-Settings!$B$4),0.25),0),"")</f>
        <v/>
      </c>
      <c r="R186" s="22">
        <f>IF(P186="Dormant",IF(AND(N(D186)&gt;=Settings!$B$6,N(Q186)&gt;=40),"Re-engage now",IF(N(D186)&gt;=Settings!$B$6,"Investigate, then decide","Low value: batch or close")),IF(P186="Likely dead","Close out or recycle to nurture",IF(P186="Active","Leave: active",IF(P186="Check dates","Add dates",""))))</f>
        <v/>
      </c>
      <c r="S186" s="23">
        <f>IF(OR(R186="Re-engage now",R186="Investigate, then decide"),Q186+ROW()/1000000,"")</f>
        <v/>
      </c>
    </row>
    <row r="187">
      <c r="A187" s="24" t="n"/>
      <c r="B187" s="24" t="n"/>
      <c r="C187" s="24" t="n"/>
      <c r="D187" s="25" t="n"/>
      <c r="E187" s="26" t="n"/>
      <c r="F187" s="26" t="n"/>
      <c r="G187" s="26" t="n"/>
      <c r="H187" s="26" t="n"/>
      <c r="I187" s="26" t="n"/>
      <c r="J187" s="24" t="n"/>
      <c r="K187" s="24" t="n"/>
      <c r="L187" s="22">
        <f>IF(A187="","",IF(AND(F187="",E187=""),"",TODAY()-IF(F187="",E187,F187)))</f>
        <v/>
      </c>
      <c r="M187" s="22">
        <f>IF(OR(A187="",E187=""),"",TODAY()-E187)</f>
        <v/>
      </c>
      <c r="N187" s="22">
        <f>IF(OR(H187="",I187=""),"",I187-H187)</f>
        <v/>
      </c>
      <c r="O187" s="22">
        <f>IF(OR(F187="",G187=""),"",IF(G187-F187&gt;Settings!$B$8,"CRM activity, no buyer contact",""))</f>
        <v/>
      </c>
      <c r="P187" s="22">
        <f>IF(A187="","",IF(OR(C187="Closed won",C187="Closed lost"),"Closed",IF(L187="","Check dates",IF(L187&gt;=Settings!$B$5,"Likely dead",IF(L187&gt;=Settings!$B$4,"Dormant","Active")))))</f>
        <v/>
      </c>
      <c r="Q187" s="22">
        <f>IF(OR(P187="Dormant",P187="Likely dead"),ROUND(100*IFERROR(VLOOKUP(C187,Settings!$D$4:$E$8,2,FALSE),0.3)*MIN(1,N(D187)/Settings!$B$7)*IF(P187="Dormant",1-0.5*(L187-Settings!$B$4)/MAX(1,Settings!$B$5-Settings!$B$4),0.25),0),"")</f>
        <v/>
      </c>
      <c r="R187" s="22">
        <f>IF(P187="Dormant",IF(AND(N(D187)&gt;=Settings!$B$6,N(Q187)&gt;=40),"Re-engage now",IF(N(D187)&gt;=Settings!$B$6,"Investigate, then decide","Low value: batch or close")),IF(P187="Likely dead","Close out or recycle to nurture",IF(P187="Active","Leave: active",IF(P187="Check dates","Add dates",""))))</f>
        <v/>
      </c>
      <c r="S187" s="23">
        <f>IF(OR(R187="Re-engage now",R187="Investigate, then decide"),Q187+ROW()/1000000,"")</f>
        <v/>
      </c>
    </row>
    <row r="188">
      <c r="A188" s="24" t="n"/>
      <c r="B188" s="24" t="n"/>
      <c r="C188" s="24" t="n"/>
      <c r="D188" s="25" t="n"/>
      <c r="E188" s="26" t="n"/>
      <c r="F188" s="26" t="n"/>
      <c r="G188" s="26" t="n"/>
      <c r="H188" s="26" t="n"/>
      <c r="I188" s="26" t="n"/>
      <c r="J188" s="24" t="n"/>
      <c r="K188" s="24" t="n"/>
      <c r="L188" s="22">
        <f>IF(A188="","",IF(AND(F188="",E188=""),"",TODAY()-IF(F188="",E188,F188)))</f>
        <v/>
      </c>
      <c r="M188" s="22">
        <f>IF(OR(A188="",E188=""),"",TODAY()-E188)</f>
        <v/>
      </c>
      <c r="N188" s="22">
        <f>IF(OR(H188="",I188=""),"",I188-H188)</f>
        <v/>
      </c>
      <c r="O188" s="22">
        <f>IF(OR(F188="",G188=""),"",IF(G188-F188&gt;Settings!$B$8,"CRM activity, no buyer contact",""))</f>
        <v/>
      </c>
      <c r="P188" s="22">
        <f>IF(A188="","",IF(OR(C188="Closed won",C188="Closed lost"),"Closed",IF(L188="","Check dates",IF(L188&gt;=Settings!$B$5,"Likely dead",IF(L188&gt;=Settings!$B$4,"Dormant","Active")))))</f>
        <v/>
      </c>
      <c r="Q188" s="22">
        <f>IF(OR(P188="Dormant",P188="Likely dead"),ROUND(100*IFERROR(VLOOKUP(C188,Settings!$D$4:$E$8,2,FALSE),0.3)*MIN(1,N(D188)/Settings!$B$7)*IF(P188="Dormant",1-0.5*(L188-Settings!$B$4)/MAX(1,Settings!$B$5-Settings!$B$4),0.25),0),"")</f>
        <v/>
      </c>
      <c r="R188" s="22">
        <f>IF(P188="Dormant",IF(AND(N(D188)&gt;=Settings!$B$6,N(Q188)&gt;=40),"Re-engage now",IF(N(D188)&gt;=Settings!$B$6,"Investigate, then decide","Low value: batch or close")),IF(P188="Likely dead","Close out or recycle to nurture",IF(P188="Active","Leave: active",IF(P188="Check dates","Add dates",""))))</f>
        <v/>
      </c>
      <c r="S188" s="23">
        <f>IF(OR(R188="Re-engage now",R188="Investigate, then decide"),Q188+ROW()/1000000,"")</f>
        <v/>
      </c>
    </row>
    <row r="189">
      <c r="A189" s="24" t="n"/>
      <c r="B189" s="24" t="n"/>
      <c r="C189" s="24" t="n"/>
      <c r="D189" s="25" t="n"/>
      <c r="E189" s="26" t="n"/>
      <c r="F189" s="26" t="n"/>
      <c r="G189" s="26" t="n"/>
      <c r="H189" s="26" t="n"/>
      <c r="I189" s="26" t="n"/>
      <c r="J189" s="24" t="n"/>
      <c r="K189" s="24" t="n"/>
      <c r="L189" s="22">
        <f>IF(A189="","",IF(AND(F189="",E189=""),"",TODAY()-IF(F189="",E189,F189)))</f>
        <v/>
      </c>
      <c r="M189" s="22">
        <f>IF(OR(A189="",E189=""),"",TODAY()-E189)</f>
        <v/>
      </c>
      <c r="N189" s="22">
        <f>IF(OR(H189="",I189=""),"",I189-H189)</f>
        <v/>
      </c>
      <c r="O189" s="22">
        <f>IF(OR(F189="",G189=""),"",IF(G189-F189&gt;Settings!$B$8,"CRM activity, no buyer contact",""))</f>
        <v/>
      </c>
      <c r="P189" s="22">
        <f>IF(A189="","",IF(OR(C189="Closed won",C189="Closed lost"),"Closed",IF(L189="","Check dates",IF(L189&gt;=Settings!$B$5,"Likely dead",IF(L189&gt;=Settings!$B$4,"Dormant","Active")))))</f>
        <v/>
      </c>
      <c r="Q189" s="22">
        <f>IF(OR(P189="Dormant",P189="Likely dead"),ROUND(100*IFERROR(VLOOKUP(C189,Settings!$D$4:$E$8,2,FALSE),0.3)*MIN(1,N(D189)/Settings!$B$7)*IF(P189="Dormant",1-0.5*(L189-Settings!$B$4)/MAX(1,Settings!$B$5-Settings!$B$4),0.25),0),"")</f>
        <v/>
      </c>
      <c r="R189" s="22">
        <f>IF(P189="Dormant",IF(AND(N(D189)&gt;=Settings!$B$6,N(Q189)&gt;=40),"Re-engage now",IF(N(D189)&gt;=Settings!$B$6,"Investigate, then decide","Low value: batch or close")),IF(P189="Likely dead","Close out or recycle to nurture",IF(P189="Active","Leave: active",IF(P189="Check dates","Add dates",""))))</f>
        <v/>
      </c>
      <c r="S189" s="23">
        <f>IF(OR(R189="Re-engage now",R189="Investigate, then decide"),Q189+ROW()/1000000,"")</f>
        <v/>
      </c>
    </row>
    <row r="190">
      <c r="A190" s="24" t="n"/>
      <c r="B190" s="24" t="n"/>
      <c r="C190" s="24" t="n"/>
      <c r="D190" s="25" t="n"/>
      <c r="E190" s="26" t="n"/>
      <c r="F190" s="26" t="n"/>
      <c r="G190" s="26" t="n"/>
      <c r="H190" s="26" t="n"/>
      <c r="I190" s="26" t="n"/>
      <c r="J190" s="24" t="n"/>
      <c r="K190" s="24" t="n"/>
      <c r="L190" s="22">
        <f>IF(A190="","",IF(AND(F190="",E190=""),"",TODAY()-IF(F190="",E190,F190)))</f>
        <v/>
      </c>
      <c r="M190" s="22">
        <f>IF(OR(A190="",E190=""),"",TODAY()-E190)</f>
        <v/>
      </c>
      <c r="N190" s="22">
        <f>IF(OR(H190="",I190=""),"",I190-H190)</f>
        <v/>
      </c>
      <c r="O190" s="22">
        <f>IF(OR(F190="",G190=""),"",IF(G190-F190&gt;Settings!$B$8,"CRM activity, no buyer contact",""))</f>
        <v/>
      </c>
      <c r="P190" s="22">
        <f>IF(A190="","",IF(OR(C190="Closed won",C190="Closed lost"),"Closed",IF(L190="","Check dates",IF(L190&gt;=Settings!$B$5,"Likely dead",IF(L190&gt;=Settings!$B$4,"Dormant","Active")))))</f>
        <v/>
      </c>
      <c r="Q190" s="22">
        <f>IF(OR(P190="Dormant",P190="Likely dead"),ROUND(100*IFERROR(VLOOKUP(C190,Settings!$D$4:$E$8,2,FALSE),0.3)*MIN(1,N(D190)/Settings!$B$7)*IF(P190="Dormant",1-0.5*(L190-Settings!$B$4)/MAX(1,Settings!$B$5-Settings!$B$4),0.25),0),"")</f>
        <v/>
      </c>
      <c r="R190" s="22">
        <f>IF(P190="Dormant",IF(AND(N(D190)&gt;=Settings!$B$6,N(Q190)&gt;=40),"Re-engage now",IF(N(D190)&gt;=Settings!$B$6,"Investigate, then decide","Low value: batch or close")),IF(P190="Likely dead","Close out or recycle to nurture",IF(P190="Active","Leave: active",IF(P190="Check dates","Add dates",""))))</f>
        <v/>
      </c>
      <c r="S190" s="23">
        <f>IF(OR(R190="Re-engage now",R190="Investigate, then decide"),Q190+ROW()/1000000,"")</f>
        <v/>
      </c>
    </row>
    <row r="191">
      <c r="A191" s="24" t="n"/>
      <c r="B191" s="24" t="n"/>
      <c r="C191" s="24" t="n"/>
      <c r="D191" s="25" t="n"/>
      <c r="E191" s="26" t="n"/>
      <c r="F191" s="26" t="n"/>
      <c r="G191" s="26" t="n"/>
      <c r="H191" s="26" t="n"/>
      <c r="I191" s="26" t="n"/>
      <c r="J191" s="24" t="n"/>
      <c r="K191" s="24" t="n"/>
      <c r="L191" s="22">
        <f>IF(A191="","",IF(AND(F191="",E191=""),"",TODAY()-IF(F191="",E191,F191)))</f>
        <v/>
      </c>
      <c r="M191" s="22">
        <f>IF(OR(A191="",E191=""),"",TODAY()-E191)</f>
        <v/>
      </c>
      <c r="N191" s="22">
        <f>IF(OR(H191="",I191=""),"",I191-H191)</f>
        <v/>
      </c>
      <c r="O191" s="22">
        <f>IF(OR(F191="",G191=""),"",IF(G191-F191&gt;Settings!$B$8,"CRM activity, no buyer contact",""))</f>
        <v/>
      </c>
      <c r="P191" s="22">
        <f>IF(A191="","",IF(OR(C191="Closed won",C191="Closed lost"),"Closed",IF(L191="","Check dates",IF(L191&gt;=Settings!$B$5,"Likely dead",IF(L191&gt;=Settings!$B$4,"Dormant","Active")))))</f>
        <v/>
      </c>
      <c r="Q191" s="22">
        <f>IF(OR(P191="Dormant",P191="Likely dead"),ROUND(100*IFERROR(VLOOKUP(C191,Settings!$D$4:$E$8,2,FALSE),0.3)*MIN(1,N(D191)/Settings!$B$7)*IF(P191="Dormant",1-0.5*(L191-Settings!$B$4)/MAX(1,Settings!$B$5-Settings!$B$4),0.25),0),"")</f>
        <v/>
      </c>
      <c r="R191" s="22">
        <f>IF(P191="Dormant",IF(AND(N(D191)&gt;=Settings!$B$6,N(Q191)&gt;=40),"Re-engage now",IF(N(D191)&gt;=Settings!$B$6,"Investigate, then decide","Low value: batch or close")),IF(P191="Likely dead","Close out or recycle to nurture",IF(P191="Active","Leave: active",IF(P191="Check dates","Add dates",""))))</f>
        <v/>
      </c>
      <c r="S191" s="23">
        <f>IF(OR(R191="Re-engage now",R191="Investigate, then decide"),Q191+ROW()/1000000,"")</f>
        <v/>
      </c>
    </row>
    <row r="192">
      <c r="A192" s="24" t="n"/>
      <c r="B192" s="24" t="n"/>
      <c r="C192" s="24" t="n"/>
      <c r="D192" s="25" t="n"/>
      <c r="E192" s="26" t="n"/>
      <c r="F192" s="26" t="n"/>
      <c r="G192" s="26" t="n"/>
      <c r="H192" s="26" t="n"/>
      <c r="I192" s="26" t="n"/>
      <c r="J192" s="24" t="n"/>
      <c r="K192" s="24" t="n"/>
      <c r="L192" s="22">
        <f>IF(A192="","",IF(AND(F192="",E192=""),"",TODAY()-IF(F192="",E192,F192)))</f>
        <v/>
      </c>
      <c r="M192" s="22">
        <f>IF(OR(A192="",E192=""),"",TODAY()-E192)</f>
        <v/>
      </c>
      <c r="N192" s="22">
        <f>IF(OR(H192="",I192=""),"",I192-H192)</f>
        <v/>
      </c>
      <c r="O192" s="22">
        <f>IF(OR(F192="",G192=""),"",IF(G192-F192&gt;Settings!$B$8,"CRM activity, no buyer contact",""))</f>
        <v/>
      </c>
      <c r="P192" s="22">
        <f>IF(A192="","",IF(OR(C192="Closed won",C192="Closed lost"),"Closed",IF(L192="","Check dates",IF(L192&gt;=Settings!$B$5,"Likely dead",IF(L192&gt;=Settings!$B$4,"Dormant","Active")))))</f>
        <v/>
      </c>
      <c r="Q192" s="22">
        <f>IF(OR(P192="Dormant",P192="Likely dead"),ROUND(100*IFERROR(VLOOKUP(C192,Settings!$D$4:$E$8,2,FALSE),0.3)*MIN(1,N(D192)/Settings!$B$7)*IF(P192="Dormant",1-0.5*(L192-Settings!$B$4)/MAX(1,Settings!$B$5-Settings!$B$4),0.25),0),"")</f>
        <v/>
      </c>
      <c r="R192" s="22">
        <f>IF(P192="Dormant",IF(AND(N(D192)&gt;=Settings!$B$6,N(Q192)&gt;=40),"Re-engage now",IF(N(D192)&gt;=Settings!$B$6,"Investigate, then decide","Low value: batch or close")),IF(P192="Likely dead","Close out or recycle to nurture",IF(P192="Active","Leave: active",IF(P192="Check dates","Add dates",""))))</f>
        <v/>
      </c>
      <c r="S192" s="23">
        <f>IF(OR(R192="Re-engage now",R192="Investigate, then decide"),Q192+ROW()/1000000,"")</f>
        <v/>
      </c>
    </row>
    <row r="193">
      <c r="A193" s="24" t="n"/>
      <c r="B193" s="24" t="n"/>
      <c r="C193" s="24" t="n"/>
      <c r="D193" s="25" t="n"/>
      <c r="E193" s="26" t="n"/>
      <c r="F193" s="26" t="n"/>
      <c r="G193" s="26" t="n"/>
      <c r="H193" s="26" t="n"/>
      <c r="I193" s="26" t="n"/>
      <c r="J193" s="24" t="n"/>
      <c r="K193" s="24" t="n"/>
      <c r="L193" s="22">
        <f>IF(A193="","",IF(AND(F193="",E193=""),"",TODAY()-IF(F193="",E193,F193)))</f>
        <v/>
      </c>
      <c r="M193" s="22">
        <f>IF(OR(A193="",E193=""),"",TODAY()-E193)</f>
        <v/>
      </c>
      <c r="N193" s="22">
        <f>IF(OR(H193="",I193=""),"",I193-H193)</f>
        <v/>
      </c>
      <c r="O193" s="22">
        <f>IF(OR(F193="",G193=""),"",IF(G193-F193&gt;Settings!$B$8,"CRM activity, no buyer contact",""))</f>
        <v/>
      </c>
      <c r="P193" s="22">
        <f>IF(A193="","",IF(OR(C193="Closed won",C193="Closed lost"),"Closed",IF(L193="","Check dates",IF(L193&gt;=Settings!$B$5,"Likely dead",IF(L193&gt;=Settings!$B$4,"Dormant","Active")))))</f>
        <v/>
      </c>
      <c r="Q193" s="22">
        <f>IF(OR(P193="Dormant",P193="Likely dead"),ROUND(100*IFERROR(VLOOKUP(C193,Settings!$D$4:$E$8,2,FALSE),0.3)*MIN(1,N(D193)/Settings!$B$7)*IF(P193="Dormant",1-0.5*(L193-Settings!$B$4)/MAX(1,Settings!$B$5-Settings!$B$4),0.25),0),"")</f>
        <v/>
      </c>
      <c r="R193" s="22">
        <f>IF(P193="Dormant",IF(AND(N(D193)&gt;=Settings!$B$6,N(Q193)&gt;=40),"Re-engage now",IF(N(D193)&gt;=Settings!$B$6,"Investigate, then decide","Low value: batch or close")),IF(P193="Likely dead","Close out or recycle to nurture",IF(P193="Active","Leave: active",IF(P193="Check dates","Add dates",""))))</f>
        <v/>
      </c>
      <c r="S193" s="23">
        <f>IF(OR(R193="Re-engage now",R193="Investigate, then decide"),Q193+ROW()/1000000,"")</f>
        <v/>
      </c>
    </row>
    <row r="194">
      <c r="A194" s="24" t="n"/>
      <c r="B194" s="24" t="n"/>
      <c r="C194" s="24" t="n"/>
      <c r="D194" s="25" t="n"/>
      <c r="E194" s="26" t="n"/>
      <c r="F194" s="26" t="n"/>
      <c r="G194" s="26" t="n"/>
      <c r="H194" s="26" t="n"/>
      <c r="I194" s="26" t="n"/>
      <c r="J194" s="24" t="n"/>
      <c r="K194" s="24" t="n"/>
      <c r="L194" s="22">
        <f>IF(A194="","",IF(AND(F194="",E194=""),"",TODAY()-IF(F194="",E194,F194)))</f>
        <v/>
      </c>
      <c r="M194" s="22">
        <f>IF(OR(A194="",E194=""),"",TODAY()-E194)</f>
        <v/>
      </c>
      <c r="N194" s="22">
        <f>IF(OR(H194="",I194=""),"",I194-H194)</f>
        <v/>
      </c>
      <c r="O194" s="22">
        <f>IF(OR(F194="",G194=""),"",IF(G194-F194&gt;Settings!$B$8,"CRM activity, no buyer contact",""))</f>
        <v/>
      </c>
      <c r="P194" s="22">
        <f>IF(A194="","",IF(OR(C194="Closed won",C194="Closed lost"),"Closed",IF(L194="","Check dates",IF(L194&gt;=Settings!$B$5,"Likely dead",IF(L194&gt;=Settings!$B$4,"Dormant","Active")))))</f>
        <v/>
      </c>
      <c r="Q194" s="22">
        <f>IF(OR(P194="Dormant",P194="Likely dead"),ROUND(100*IFERROR(VLOOKUP(C194,Settings!$D$4:$E$8,2,FALSE),0.3)*MIN(1,N(D194)/Settings!$B$7)*IF(P194="Dormant",1-0.5*(L194-Settings!$B$4)/MAX(1,Settings!$B$5-Settings!$B$4),0.25),0),"")</f>
        <v/>
      </c>
      <c r="R194" s="22">
        <f>IF(P194="Dormant",IF(AND(N(D194)&gt;=Settings!$B$6,N(Q194)&gt;=40),"Re-engage now",IF(N(D194)&gt;=Settings!$B$6,"Investigate, then decide","Low value: batch or close")),IF(P194="Likely dead","Close out or recycle to nurture",IF(P194="Active","Leave: active",IF(P194="Check dates","Add dates",""))))</f>
        <v/>
      </c>
      <c r="S194" s="23">
        <f>IF(OR(R194="Re-engage now",R194="Investigate, then decide"),Q194+ROW()/1000000,"")</f>
        <v/>
      </c>
    </row>
    <row r="195">
      <c r="A195" s="24" t="n"/>
      <c r="B195" s="24" t="n"/>
      <c r="C195" s="24" t="n"/>
      <c r="D195" s="25" t="n"/>
      <c r="E195" s="26" t="n"/>
      <c r="F195" s="26" t="n"/>
      <c r="G195" s="26" t="n"/>
      <c r="H195" s="26" t="n"/>
      <c r="I195" s="26" t="n"/>
      <c r="J195" s="24" t="n"/>
      <c r="K195" s="24" t="n"/>
      <c r="L195" s="22">
        <f>IF(A195="","",IF(AND(F195="",E195=""),"",TODAY()-IF(F195="",E195,F195)))</f>
        <v/>
      </c>
      <c r="M195" s="22">
        <f>IF(OR(A195="",E195=""),"",TODAY()-E195)</f>
        <v/>
      </c>
      <c r="N195" s="22">
        <f>IF(OR(H195="",I195=""),"",I195-H195)</f>
        <v/>
      </c>
      <c r="O195" s="22">
        <f>IF(OR(F195="",G195=""),"",IF(G195-F195&gt;Settings!$B$8,"CRM activity, no buyer contact",""))</f>
        <v/>
      </c>
      <c r="P195" s="22">
        <f>IF(A195="","",IF(OR(C195="Closed won",C195="Closed lost"),"Closed",IF(L195="","Check dates",IF(L195&gt;=Settings!$B$5,"Likely dead",IF(L195&gt;=Settings!$B$4,"Dormant","Active")))))</f>
        <v/>
      </c>
      <c r="Q195" s="22">
        <f>IF(OR(P195="Dormant",P195="Likely dead"),ROUND(100*IFERROR(VLOOKUP(C195,Settings!$D$4:$E$8,2,FALSE),0.3)*MIN(1,N(D195)/Settings!$B$7)*IF(P195="Dormant",1-0.5*(L195-Settings!$B$4)/MAX(1,Settings!$B$5-Settings!$B$4),0.25),0),"")</f>
        <v/>
      </c>
      <c r="R195" s="22">
        <f>IF(P195="Dormant",IF(AND(N(D195)&gt;=Settings!$B$6,N(Q195)&gt;=40),"Re-engage now",IF(N(D195)&gt;=Settings!$B$6,"Investigate, then decide","Low value: batch or close")),IF(P195="Likely dead","Close out or recycle to nurture",IF(P195="Active","Leave: active",IF(P195="Check dates","Add dates",""))))</f>
        <v/>
      </c>
      <c r="S195" s="23">
        <f>IF(OR(R195="Re-engage now",R195="Investigate, then decide"),Q195+ROW()/1000000,"")</f>
        <v/>
      </c>
    </row>
    <row r="196">
      <c r="A196" s="24" t="n"/>
      <c r="B196" s="24" t="n"/>
      <c r="C196" s="24" t="n"/>
      <c r="D196" s="25" t="n"/>
      <c r="E196" s="26" t="n"/>
      <c r="F196" s="26" t="n"/>
      <c r="G196" s="26" t="n"/>
      <c r="H196" s="26" t="n"/>
      <c r="I196" s="26" t="n"/>
      <c r="J196" s="24" t="n"/>
      <c r="K196" s="24" t="n"/>
      <c r="L196" s="22">
        <f>IF(A196="","",IF(AND(F196="",E196=""),"",TODAY()-IF(F196="",E196,F196)))</f>
        <v/>
      </c>
      <c r="M196" s="22">
        <f>IF(OR(A196="",E196=""),"",TODAY()-E196)</f>
        <v/>
      </c>
      <c r="N196" s="22">
        <f>IF(OR(H196="",I196=""),"",I196-H196)</f>
        <v/>
      </c>
      <c r="O196" s="22">
        <f>IF(OR(F196="",G196=""),"",IF(G196-F196&gt;Settings!$B$8,"CRM activity, no buyer contact",""))</f>
        <v/>
      </c>
      <c r="P196" s="22">
        <f>IF(A196="","",IF(OR(C196="Closed won",C196="Closed lost"),"Closed",IF(L196="","Check dates",IF(L196&gt;=Settings!$B$5,"Likely dead",IF(L196&gt;=Settings!$B$4,"Dormant","Active")))))</f>
        <v/>
      </c>
      <c r="Q196" s="22">
        <f>IF(OR(P196="Dormant",P196="Likely dead"),ROUND(100*IFERROR(VLOOKUP(C196,Settings!$D$4:$E$8,2,FALSE),0.3)*MIN(1,N(D196)/Settings!$B$7)*IF(P196="Dormant",1-0.5*(L196-Settings!$B$4)/MAX(1,Settings!$B$5-Settings!$B$4),0.25),0),"")</f>
        <v/>
      </c>
      <c r="R196" s="22">
        <f>IF(P196="Dormant",IF(AND(N(D196)&gt;=Settings!$B$6,N(Q196)&gt;=40),"Re-engage now",IF(N(D196)&gt;=Settings!$B$6,"Investigate, then decide","Low value: batch or close")),IF(P196="Likely dead","Close out or recycle to nurture",IF(P196="Active","Leave: active",IF(P196="Check dates","Add dates",""))))</f>
        <v/>
      </c>
      <c r="S196" s="23">
        <f>IF(OR(R196="Re-engage now",R196="Investigate, then decide"),Q196+ROW()/1000000,"")</f>
        <v/>
      </c>
    </row>
    <row r="197">
      <c r="A197" s="24" t="n"/>
      <c r="B197" s="24" t="n"/>
      <c r="C197" s="24" t="n"/>
      <c r="D197" s="25" t="n"/>
      <c r="E197" s="26" t="n"/>
      <c r="F197" s="26" t="n"/>
      <c r="G197" s="26" t="n"/>
      <c r="H197" s="26" t="n"/>
      <c r="I197" s="26" t="n"/>
      <c r="J197" s="24" t="n"/>
      <c r="K197" s="24" t="n"/>
      <c r="L197" s="22">
        <f>IF(A197="","",IF(AND(F197="",E197=""),"",TODAY()-IF(F197="",E197,F197)))</f>
        <v/>
      </c>
      <c r="M197" s="22">
        <f>IF(OR(A197="",E197=""),"",TODAY()-E197)</f>
        <v/>
      </c>
      <c r="N197" s="22">
        <f>IF(OR(H197="",I197=""),"",I197-H197)</f>
        <v/>
      </c>
      <c r="O197" s="22">
        <f>IF(OR(F197="",G197=""),"",IF(G197-F197&gt;Settings!$B$8,"CRM activity, no buyer contact",""))</f>
        <v/>
      </c>
      <c r="P197" s="22">
        <f>IF(A197="","",IF(OR(C197="Closed won",C197="Closed lost"),"Closed",IF(L197="","Check dates",IF(L197&gt;=Settings!$B$5,"Likely dead",IF(L197&gt;=Settings!$B$4,"Dormant","Active")))))</f>
        <v/>
      </c>
      <c r="Q197" s="22">
        <f>IF(OR(P197="Dormant",P197="Likely dead"),ROUND(100*IFERROR(VLOOKUP(C197,Settings!$D$4:$E$8,2,FALSE),0.3)*MIN(1,N(D197)/Settings!$B$7)*IF(P197="Dormant",1-0.5*(L197-Settings!$B$4)/MAX(1,Settings!$B$5-Settings!$B$4),0.25),0),"")</f>
        <v/>
      </c>
      <c r="R197" s="22">
        <f>IF(P197="Dormant",IF(AND(N(D197)&gt;=Settings!$B$6,N(Q197)&gt;=40),"Re-engage now",IF(N(D197)&gt;=Settings!$B$6,"Investigate, then decide","Low value: batch or close")),IF(P197="Likely dead","Close out or recycle to nurture",IF(P197="Active","Leave: active",IF(P197="Check dates","Add dates",""))))</f>
        <v/>
      </c>
      <c r="S197" s="23">
        <f>IF(OR(R197="Re-engage now",R197="Investigate, then decide"),Q197+ROW()/1000000,"")</f>
        <v/>
      </c>
    </row>
    <row r="198">
      <c r="A198" s="24" t="n"/>
      <c r="B198" s="24" t="n"/>
      <c r="C198" s="24" t="n"/>
      <c r="D198" s="25" t="n"/>
      <c r="E198" s="26" t="n"/>
      <c r="F198" s="26" t="n"/>
      <c r="G198" s="26" t="n"/>
      <c r="H198" s="26" t="n"/>
      <c r="I198" s="26" t="n"/>
      <c r="J198" s="24" t="n"/>
      <c r="K198" s="24" t="n"/>
      <c r="L198" s="22">
        <f>IF(A198="","",IF(AND(F198="",E198=""),"",TODAY()-IF(F198="",E198,F198)))</f>
        <v/>
      </c>
      <c r="M198" s="22">
        <f>IF(OR(A198="",E198=""),"",TODAY()-E198)</f>
        <v/>
      </c>
      <c r="N198" s="22">
        <f>IF(OR(H198="",I198=""),"",I198-H198)</f>
        <v/>
      </c>
      <c r="O198" s="22">
        <f>IF(OR(F198="",G198=""),"",IF(G198-F198&gt;Settings!$B$8,"CRM activity, no buyer contact",""))</f>
        <v/>
      </c>
      <c r="P198" s="22">
        <f>IF(A198="","",IF(OR(C198="Closed won",C198="Closed lost"),"Closed",IF(L198="","Check dates",IF(L198&gt;=Settings!$B$5,"Likely dead",IF(L198&gt;=Settings!$B$4,"Dormant","Active")))))</f>
        <v/>
      </c>
      <c r="Q198" s="22">
        <f>IF(OR(P198="Dormant",P198="Likely dead"),ROUND(100*IFERROR(VLOOKUP(C198,Settings!$D$4:$E$8,2,FALSE),0.3)*MIN(1,N(D198)/Settings!$B$7)*IF(P198="Dormant",1-0.5*(L198-Settings!$B$4)/MAX(1,Settings!$B$5-Settings!$B$4),0.25),0),"")</f>
        <v/>
      </c>
      <c r="R198" s="22">
        <f>IF(P198="Dormant",IF(AND(N(D198)&gt;=Settings!$B$6,N(Q198)&gt;=40),"Re-engage now",IF(N(D198)&gt;=Settings!$B$6,"Investigate, then decide","Low value: batch or close")),IF(P198="Likely dead","Close out or recycle to nurture",IF(P198="Active","Leave: active",IF(P198="Check dates","Add dates",""))))</f>
        <v/>
      </c>
      <c r="S198" s="23">
        <f>IF(OR(R198="Re-engage now",R198="Investigate, then decide"),Q198+ROW()/1000000,"")</f>
        <v/>
      </c>
    </row>
    <row r="199">
      <c r="A199" s="24" t="n"/>
      <c r="B199" s="24" t="n"/>
      <c r="C199" s="24" t="n"/>
      <c r="D199" s="25" t="n"/>
      <c r="E199" s="26" t="n"/>
      <c r="F199" s="26" t="n"/>
      <c r="G199" s="26" t="n"/>
      <c r="H199" s="26" t="n"/>
      <c r="I199" s="26" t="n"/>
      <c r="J199" s="24" t="n"/>
      <c r="K199" s="24" t="n"/>
      <c r="L199" s="22">
        <f>IF(A199="","",IF(AND(F199="",E199=""),"",TODAY()-IF(F199="",E199,F199)))</f>
        <v/>
      </c>
      <c r="M199" s="22">
        <f>IF(OR(A199="",E199=""),"",TODAY()-E199)</f>
        <v/>
      </c>
      <c r="N199" s="22">
        <f>IF(OR(H199="",I199=""),"",I199-H199)</f>
        <v/>
      </c>
      <c r="O199" s="22">
        <f>IF(OR(F199="",G199=""),"",IF(G199-F199&gt;Settings!$B$8,"CRM activity, no buyer contact",""))</f>
        <v/>
      </c>
      <c r="P199" s="22">
        <f>IF(A199="","",IF(OR(C199="Closed won",C199="Closed lost"),"Closed",IF(L199="","Check dates",IF(L199&gt;=Settings!$B$5,"Likely dead",IF(L199&gt;=Settings!$B$4,"Dormant","Active")))))</f>
        <v/>
      </c>
      <c r="Q199" s="22">
        <f>IF(OR(P199="Dormant",P199="Likely dead"),ROUND(100*IFERROR(VLOOKUP(C199,Settings!$D$4:$E$8,2,FALSE),0.3)*MIN(1,N(D199)/Settings!$B$7)*IF(P199="Dormant",1-0.5*(L199-Settings!$B$4)/MAX(1,Settings!$B$5-Settings!$B$4),0.25),0),"")</f>
        <v/>
      </c>
      <c r="R199" s="22">
        <f>IF(P199="Dormant",IF(AND(N(D199)&gt;=Settings!$B$6,N(Q199)&gt;=40),"Re-engage now",IF(N(D199)&gt;=Settings!$B$6,"Investigate, then decide","Low value: batch or close")),IF(P199="Likely dead","Close out or recycle to nurture",IF(P199="Active","Leave: active",IF(P199="Check dates","Add dates",""))))</f>
        <v/>
      </c>
      <c r="S199" s="23">
        <f>IF(OR(R199="Re-engage now",R199="Investigate, then decide"),Q199+ROW()/1000000,"")</f>
        <v/>
      </c>
    </row>
    <row r="200">
      <c r="A200" s="24" t="n"/>
      <c r="B200" s="24" t="n"/>
      <c r="C200" s="24" t="n"/>
      <c r="D200" s="25" t="n"/>
      <c r="E200" s="26" t="n"/>
      <c r="F200" s="26" t="n"/>
      <c r="G200" s="26" t="n"/>
      <c r="H200" s="26" t="n"/>
      <c r="I200" s="26" t="n"/>
      <c r="J200" s="24" t="n"/>
      <c r="K200" s="24" t="n"/>
      <c r="L200" s="22">
        <f>IF(A200="","",IF(AND(F200="",E200=""),"",TODAY()-IF(F200="",E200,F200)))</f>
        <v/>
      </c>
      <c r="M200" s="22">
        <f>IF(OR(A200="",E200=""),"",TODAY()-E200)</f>
        <v/>
      </c>
      <c r="N200" s="22">
        <f>IF(OR(H200="",I200=""),"",I200-H200)</f>
        <v/>
      </c>
      <c r="O200" s="22">
        <f>IF(OR(F200="",G200=""),"",IF(G200-F200&gt;Settings!$B$8,"CRM activity, no buyer contact",""))</f>
        <v/>
      </c>
      <c r="P200" s="22">
        <f>IF(A200="","",IF(OR(C200="Closed won",C200="Closed lost"),"Closed",IF(L200="","Check dates",IF(L200&gt;=Settings!$B$5,"Likely dead",IF(L200&gt;=Settings!$B$4,"Dormant","Active")))))</f>
        <v/>
      </c>
      <c r="Q200" s="22">
        <f>IF(OR(P200="Dormant",P200="Likely dead"),ROUND(100*IFERROR(VLOOKUP(C200,Settings!$D$4:$E$8,2,FALSE),0.3)*MIN(1,N(D200)/Settings!$B$7)*IF(P200="Dormant",1-0.5*(L200-Settings!$B$4)/MAX(1,Settings!$B$5-Settings!$B$4),0.25),0),"")</f>
        <v/>
      </c>
      <c r="R200" s="22">
        <f>IF(P200="Dormant",IF(AND(N(D200)&gt;=Settings!$B$6,N(Q200)&gt;=40),"Re-engage now",IF(N(D200)&gt;=Settings!$B$6,"Investigate, then decide","Low value: batch or close")),IF(P200="Likely dead","Close out or recycle to nurture",IF(P200="Active","Leave: active",IF(P200="Check dates","Add dates",""))))</f>
        <v/>
      </c>
      <c r="S200" s="23">
        <f>IF(OR(R200="Re-engage now",R200="Investigate, then decide"),Q200+ROW()/1000000,"")</f>
        <v/>
      </c>
    </row>
    <row r="201">
      <c r="A201" s="24" t="n"/>
      <c r="B201" s="24" t="n"/>
      <c r="C201" s="24" t="n"/>
      <c r="D201" s="25" t="n"/>
      <c r="E201" s="26" t="n"/>
      <c r="F201" s="26" t="n"/>
      <c r="G201" s="26" t="n"/>
      <c r="H201" s="26" t="n"/>
      <c r="I201" s="26" t="n"/>
      <c r="J201" s="24" t="n"/>
      <c r="K201" s="24" t="n"/>
      <c r="L201" s="22">
        <f>IF(A201="","",IF(AND(F201="",E201=""),"",TODAY()-IF(F201="",E201,F201)))</f>
        <v/>
      </c>
      <c r="M201" s="22">
        <f>IF(OR(A201="",E201=""),"",TODAY()-E201)</f>
        <v/>
      </c>
      <c r="N201" s="22">
        <f>IF(OR(H201="",I201=""),"",I201-H201)</f>
        <v/>
      </c>
      <c r="O201" s="22">
        <f>IF(OR(F201="",G201=""),"",IF(G201-F201&gt;Settings!$B$8,"CRM activity, no buyer contact",""))</f>
        <v/>
      </c>
      <c r="P201" s="22">
        <f>IF(A201="","",IF(OR(C201="Closed won",C201="Closed lost"),"Closed",IF(L201="","Check dates",IF(L201&gt;=Settings!$B$5,"Likely dead",IF(L201&gt;=Settings!$B$4,"Dormant","Active")))))</f>
        <v/>
      </c>
      <c r="Q201" s="22">
        <f>IF(OR(P201="Dormant",P201="Likely dead"),ROUND(100*IFERROR(VLOOKUP(C201,Settings!$D$4:$E$8,2,FALSE),0.3)*MIN(1,N(D201)/Settings!$B$7)*IF(P201="Dormant",1-0.5*(L201-Settings!$B$4)/MAX(1,Settings!$B$5-Settings!$B$4),0.25),0),"")</f>
        <v/>
      </c>
      <c r="R201" s="22">
        <f>IF(P201="Dormant",IF(AND(N(D201)&gt;=Settings!$B$6,N(Q201)&gt;=40),"Re-engage now",IF(N(D201)&gt;=Settings!$B$6,"Investigate, then decide","Low value: batch or close")),IF(P201="Likely dead","Close out or recycle to nurture",IF(P201="Active","Leave: active",IF(P201="Check dates","Add dates",""))))</f>
        <v/>
      </c>
      <c r="S201" s="23">
        <f>IF(OR(R201="Re-engage now",R201="Investigate, then decide"),Q201+ROW()/1000000,"")</f>
        <v/>
      </c>
    </row>
    <row r="202">
      <c r="A202" s="24" t="n"/>
      <c r="B202" s="24" t="n"/>
      <c r="C202" s="24" t="n"/>
      <c r="D202" s="25" t="n"/>
      <c r="E202" s="26" t="n"/>
      <c r="F202" s="26" t="n"/>
      <c r="G202" s="26" t="n"/>
      <c r="H202" s="26" t="n"/>
      <c r="I202" s="26" t="n"/>
      <c r="J202" s="24" t="n"/>
      <c r="K202" s="24" t="n"/>
      <c r="L202" s="22">
        <f>IF(A202="","",IF(AND(F202="",E202=""),"",TODAY()-IF(F202="",E202,F202)))</f>
        <v/>
      </c>
      <c r="M202" s="22">
        <f>IF(OR(A202="",E202=""),"",TODAY()-E202)</f>
        <v/>
      </c>
      <c r="N202" s="22">
        <f>IF(OR(H202="",I202=""),"",I202-H202)</f>
        <v/>
      </c>
      <c r="O202" s="22">
        <f>IF(OR(F202="",G202=""),"",IF(G202-F202&gt;Settings!$B$8,"CRM activity, no buyer contact",""))</f>
        <v/>
      </c>
      <c r="P202" s="22">
        <f>IF(A202="","",IF(OR(C202="Closed won",C202="Closed lost"),"Closed",IF(L202="","Check dates",IF(L202&gt;=Settings!$B$5,"Likely dead",IF(L202&gt;=Settings!$B$4,"Dormant","Active")))))</f>
        <v/>
      </c>
      <c r="Q202" s="22">
        <f>IF(OR(P202="Dormant",P202="Likely dead"),ROUND(100*IFERROR(VLOOKUP(C202,Settings!$D$4:$E$8,2,FALSE),0.3)*MIN(1,N(D202)/Settings!$B$7)*IF(P202="Dormant",1-0.5*(L202-Settings!$B$4)/MAX(1,Settings!$B$5-Settings!$B$4),0.25),0),"")</f>
        <v/>
      </c>
      <c r="R202" s="22">
        <f>IF(P202="Dormant",IF(AND(N(D202)&gt;=Settings!$B$6,N(Q202)&gt;=40),"Re-engage now",IF(N(D202)&gt;=Settings!$B$6,"Investigate, then decide","Low value: batch or close")),IF(P202="Likely dead","Close out or recycle to nurture",IF(P202="Active","Leave: active",IF(P202="Check dates","Add dates",""))))</f>
        <v/>
      </c>
      <c r="S202" s="23">
        <f>IF(OR(R202="Re-engage now",R202="Investigate, then decide"),Q202+ROW()/1000000,"")</f>
        <v/>
      </c>
    </row>
    <row r="203">
      <c r="A203" s="24" t="n"/>
      <c r="B203" s="24" t="n"/>
      <c r="C203" s="24" t="n"/>
      <c r="D203" s="25" t="n"/>
      <c r="E203" s="26" t="n"/>
      <c r="F203" s="26" t="n"/>
      <c r="G203" s="26" t="n"/>
      <c r="H203" s="26" t="n"/>
      <c r="I203" s="26" t="n"/>
      <c r="J203" s="24" t="n"/>
      <c r="K203" s="24" t="n"/>
      <c r="L203" s="22">
        <f>IF(A203="","",IF(AND(F203="",E203=""),"",TODAY()-IF(F203="",E203,F203)))</f>
        <v/>
      </c>
      <c r="M203" s="22">
        <f>IF(OR(A203="",E203=""),"",TODAY()-E203)</f>
        <v/>
      </c>
      <c r="N203" s="22">
        <f>IF(OR(H203="",I203=""),"",I203-H203)</f>
        <v/>
      </c>
      <c r="O203" s="22">
        <f>IF(OR(F203="",G203=""),"",IF(G203-F203&gt;Settings!$B$8,"CRM activity, no buyer contact",""))</f>
        <v/>
      </c>
      <c r="P203" s="22">
        <f>IF(A203="","",IF(OR(C203="Closed won",C203="Closed lost"),"Closed",IF(L203="","Check dates",IF(L203&gt;=Settings!$B$5,"Likely dead",IF(L203&gt;=Settings!$B$4,"Dormant","Active")))))</f>
        <v/>
      </c>
      <c r="Q203" s="22">
        <f>IF(OR(P203="Dormant",P203="Likely dead"),ROUND(100*IFERROR(VLOOKUP(C203,Settings!$D$4:$E$8,2,FALSE),0.3)*MIN(1,N(D203)/Settings!$B$7)*IF(P203="Dormant",1-0.5*(L203-Settings!$B$4)/MAX(1,Settings!$B$5-Settings!$B$4),0.25),0),"")</f>
        <v/>
      </c>
      <c r="R203" s="22">
        <f>IF(P203="Dormant",IF(AND(N(D203)&gt;=Settings!$B$6,N(Q203)&gt;=40),"Re-engage now",IF(N(D203)&gt;=Settings!$B$6,"Investigate, then decide","Low value: batch or close")),IF(P203="Likely dead","Close out or recycle to nurture",IF(P203="Active","Leave: active",IF(P203="Check dates","Add dates",""))))</f>
        <v/>
      </c>
      <c r="S203" s="23">
        <f>IF(OR(R203="Re-engage now",R203="Investigate, then decide"),Q203+ROW()/1000000,"")</f>
        <v/>
      </c>
    </row>
    <row r="204">
      <c r="A204" s="24" t="n"/>
      <c r="B204" s="24" t="n"/>
      <c r="C204" s="24" t="n"/>
      <c r="D204" s="25" t="n"/>
      <c r="E204" s="26" t="n"/>
      <c r="F204" s="26" t="n"/>
      <c r="G204" s="26" t="n"/>
      <c r="H204" s="26" t="n"/>
      <c r="I204" s="26" t="n"/>
      <c r="J204" s="24" t="n"/>
      <c r="K204" s="24" t="n"/>
      <c r="L204" s="22">
        <f>IF(A204="","",IF(AND(F204="",E204=""),"",TODAY()-IF(F204="",E204,F204)))</f>
        <v/>
      </c>
      <c r="M204" s="22">
        <f>IF(OR(A204="",E204=""),"",TODAY()-E204)</f>
        <v/>
      </c>
      <c r="N204" s="22">
        <f>IF(OR(H204="",I204=""),"",I204-H204)</f>
        <v/>
      </c>
      <c r="O204" s="22">
        <f>IF(OR(F204="",G204=""),"",IF(G204-F204&gt;Settings!$B$8,"CRM activity, no buyer contact",""))</f>
        <v/>
      </c>
      <c r="P204" s="22">
        <f>IF(A204="","",IF(OR(C204="Closed won",C204="Closed lost"),"Closed",IF(L204="","Check dates",IF(L204&gt;=Settings!$B$5,"Likely dead",IF(L204&gt;=Settings!$B$4,"Dormant","Active")))))</f>
        <v/>
      </c>
      <c r="Q204" s="22">
        <f>IF(OR(P204="Dormant",P204="Likely dead"),ROUND(100*IFERROR(VLOOKUP(C204,Settings!$D$4:$E$8,2,FALSE),0.3)*MIN(1,N(D204)/Settings!$B$7)*IF(P204="Dormant",1-0.5*(L204-Settings!$B$4)/MAX(1,Settings!$B$5-Settings!$B$4),0.25),0),"")</f>
        <v/>
      </c>
      <c r="R204" s="22">
        <f>IF(P204="Dormant",IF(AND(N(D204)&gt;=Settings!$B$6,N(Q204)&gt;=40),"Re-engage now",IF(N(D204)&gt;=Settings!$B$6,"Investigate, then decide","Low value: batch or close")),IF(P204="Likely dead","Close out or recycle to nurture",IF(P204="Active","Leave: active",IF(P204="Check dates","Add dates",""))))</f>
        <v/>
      </c>
      <c r="S204" s="23">
        <f>IF(OR(R204="Re-engage now",R204="Investigate, then decide"),Q204+ROW()/1000000,"")</f>
        <v/>
      </c>
    </row>
    <row r="205">
      <c r="A205" s="24" t="n"/>
      <c r="B205" s="24" t="n"/>
      <c r="C205" s="24" t="n"/>
      <c r="D205" s="25" t="n"/>
      <c r="E205" s="26" t="n"/>
      <c r="F205" s="26" t="n"/>
      <c r="G205" s="26" t="n"/>
      <c r="H205" s="26" t="n"/>
      <c r="I205" s="26" t="n"/>
      <c r="J205" s="24" t="n"/>
      <c r="K205" s="24" t="n"/>
      <c r="L205" s="22">
        <f>IF(A205="","",IF(AND(F205="",E205=""),"",TODAY()-IF(F205="",E205,F205)))</f>
        <v/>
      </c>
      <c r="M205" s="22">
        <f>IF(OR(A205="",E205=""),"",TODAY()-E205)</f>
        <v/>
      </c>
      <c r="N205" s="22">
        <f>IF(OR(H205="",I205=""),"",I205-H205)</f>
        <v/>
      </c>
      <c r="O205" s="22">
        <f>IF(OR(F205="",G205=""),"",IF(G205-F205&gt;Settings!$B$8,"CRM activity, no buyer contact",""))</f>
        <v/>
      </c>
      <c r="P205" s="22">
        <f>IF(A205="","",IF(OR(C205="Closed won",C205="Closed lost"),"Closed",IF(L205="","Check dates",IF(L205&gt;=Settings!$B$5,"Likely dead",IF(L205&gt;=Settings!$B$4,"Dormant","Active")))))</f>
        <v/>
      </c>
      <c r="Q205" s="22">
        <f>IF(OR(P205="Dormant",P205="Likely dead"),ROUND(100*IFERROR(VLOOKUP(C205,Settings!$D$4:$E$8,2,FALSE),0.3)*MIN(1,N(D205)/Settings!$B$7)*IF(P205="Dormant",1-0.5*(L205-Settings!$B$4)/MAX(1,Settings!$B$5-Settings!$B$4),0.25),0),"")</f>
        <v/>
      </c>
      <c r="R205" s="22">
        <f>IF(P205="Dormant",IF(AND(N(D205)&gt;=Settings!$B$6,N(Q205)&gt;=40),"Re-engage now",IF(N(D205)&gt;=Settings!$B$6,"Investigate, then decide","Low value: batch or close")),IF(P205="Likely dead","Close out or recycle to nurture",IF(P205="Active","Leave: active",IF(P205="Check dates","Add dates",""))))</f>
        <v/>
      </c>
      <c r="S205" s="23">
        <f>IF(OR(R205="Re-engage now",R205="Investigate, then decide"),Q205+ROW()/1000000,"")</f>
        <v/>
      </c>
    </row>
    <row r="206">
      <c r="A206" s="24" t="n"/>
      <c r="B206" s="24" t="n"/>
      <c r="C206" s="24" t="n"/>
      <c r="D206" s="25" t="n"/>
      <c r="E206" s="26" t="n"/>
      <c r="F206" s="26" t="n"/>
      <c r="G206" s="26" t="n"/>
      <c r="H206" s="26" t="n"/>
      <c r="I206" s="26" t="n"/>
      <c r="J206" s="24" t="n"/>
      <c r="K206" s="24" t="n"/>
      <c r="L206" s="22">
        <f>IF(A206="","",IF(AND(F206="",E206=""),"",TODAY()-IF(F206="",E206,F206)))</f>
        <v/>
      </c>
      <c r="M206" s="22">
        <f>IF(OR(A206="",E206=""),"",TODAY()-E206)</f>
        <v/>
      </c>
      <c r="N206" s="22">
        <f>IF(OR(H206="",I206=""),"",I206-H206)</f>
        <v/>
      </c>
      <c r="O206" s="22">
        <f>IF(OR(F206="",G206=""),"",IF(G206-F206&gt;Settings!$B$8,"CRM activity, no buyer contact",""))</f>
        <v/>
      </c>
      <c r="P206" s="22">
        <f>IF(A206="","",IF(OR(C206="Closed won",C206="Closed lost"),"Closed",IF(L206="","Check dates",IF(L206&gt;=Settings!$B$5,"Likely dead",IF(L206&gt;=Settings!$B$4,"Dormant","Active")))))</f>
        <v/>
      </c>
      <c r="Q206" s="22">
        <f>IF(OR(P206="Dormant",P206="Likely dead"),ROUND(100*IFERROR(VLOOKUP(C206,Settings!$D$4:$E$8,2,FALSE),0.3)*MIN(1,N(D206)/Settings!$B$7)*IF(P206="Dormant",1-0.5*(L206-Settings!$B$4)/MAX(1,Settings!$B$5-Settings!$B$4),0.25),0),"")</f>
        <v/>
      </c>
      <c r="R206" s="22">
        <f>IF(P206="Dormant",IF(AND(N(D206)&gt;=Settings!$B$6,N(Q206)&gt;=40),"Re-engage now",IF(N(D206)&gt;=Settings!$B$6,"Investigate, then decide","Low value: batch or close")),IF(P206="Likely dead","Close out or recycle to nurture",IF(P206="Active","Leave: active",IF(P206="Check dates","Add dates",""))))</f>
        <v/>
      </c>
      <c r="S206" s="23">
        <f>IF(OR(R206="Re-engage now",R206="Investigate, then decide"),Q206+ROW()/1000000,"")</f>
        <v/>
      </c>
    </row>
    <row r="207">
      <c r="A207" s="24" t="n"/>
      <c r="B207" s="24" t="n"/>
      <c r="C207" s="24" t="n"/>
      <c r="D207" s="25" t="n"/>
      <c r="E207" s="26" t="n"/>
      <c r="F207" s="26" t="n"/>
      <c r="G207" s="26" t="n"/>
      <c r="H207" s="26" t="n"/>
      <c r="I207" s="26" t="n"/>
      <c r="J207" s="24" t="n"/>
      <c r="K207" s="24" t="n"/>
      <c r="L207" s="22">
        <f>IF(A207="","",IF(AND(F207="",E207=""),"",TODAY()-IF(F207="",E207,F207)))</f>
        <v/>
      </c>
      <c r="M207" s="22">
        <f>IF(OR(A207="",E207=""),"",TODAY()-E207)</f>
        <v/>
      </c>
      <c r="N207" s="22">
        <f>IF(OR(H207="",I207=""),"",I207-H207)</f>
        <v/>
      </c>
      <c r="O207" s="22">
        <f>IF(OR(F207="",G207=""),"",IF(G207-F207&gt;Settings!$B$8,"CRM activity, no buyer contact",""))</f>
        <v/>
      </c>
      <c r="P207" s="22">
        <f>IF(A207="","",IF(OR(C207="Closed won",C207="Closed lost"),"Closed",IF(L207="","Check dates",IF(L207&gt;=Settings!$B$5,"Likely dead",IF(L207&gt;=Settings!$B$4,"Dormant","Active")))))</f>
        <v/>
      </c>
      <c r="Q207" s="22">
        <f>IF(OR(P207="Dormant",P207="Likely dead"),ROUND(100*IFERROR(VLOOKUP(C207,Settings!$D$4:$E$8,2,FALSE),0.3)*MIN(1,N(D207)/Settings!$B$7)*IF(P207="Dormant",1-0.5*(L207-Settings!$B$4)/MAX(1,Settings!$B$5-Settings!$B$4),0.25),0),"")</f>
        <v/>
      </c>
      <c r="R207" s="22">
        <f>IF(P207="Dormant",IF(AND(N(D207)&gt;=Settings!$B$6,N(Q207)&gt;=40),"Re-engage now",IF(N(D207)&gt;=Settings!$B$6,"Investigate, then decide","Low value: batch or close")),IF(P207="Likely dead","Close out or recycle to nurture",IF(P207="Active","Leave: active",IF(P207="Check dates","Add dates",""))))</f>
        <v/>
      </c>
      <c r="S207" s="23">
        <f>IF(OR(R207="Re-engage now",R207="Investigate, then decide"),Q207+ROW()/1000000,"")</f>
        <v/>
      </c>
    </row>
    <row r="208">
      <c r="A208" s="24" t="n"/>
      <c r="B208" s="24" t="n"/>
      <c r="C208" s="24" t="n"/>
      <c r="D208" s="25" t="n"/>
      <c r="E208" s="26" t="n"/>
      <c r="F208" s="26" t="n"/>
      <c r="G208" s="26" t="n"/>
      <c r="H208" s="26" t="n"/>
      <c r="I208" s="26" t="n"/>
      <c r="J208" s="24" t="n"/>
      <c r="K208" s="24" t="n"/>
      <c r="L208" s="22">
        <f>IF(A208="","",IF(AND(F208="",E208=""),"",TODAY()-IF(F208="",E208,F208)))</f>
        <v/>
      </c>
      <c r="M208" s="22">
        <f>IF(OR(A208="",E208=""),"",TODAY()-E208)</f>
        <v/>
      </c>
      <c r="N208" s="22">
        <f>IF(OR(H208="",I208=""),"",I208-H208)</f>
        <v/>
      </c>
      <c r="O208" s="22">
        <f>IF(OR(F208="",G208=""),"",IF(G208-F208&gt;Settings!$B$8,"CRM activity, no buyer contact",""))</f>
        <v/>
      </c>
      <c r="P208" s="22">
        <f>IF(A208="","",IF(OR(C208="Closed won",C208="Closed lost"),"Closed",IF(L208="","Check dates",IF(L208&gt;=Settings!$B$5,"Likely dead",IF(L208&gt;=Settings!$B$4,"Dormant","Active")))))</f>
        <v/>
      </c>
      <c r="Q208" s="22">
        <f>IF(OR(P208="Dormant",P208="Likely dead"),ROUND(100*IFERROR(VLOOKUP(C208,Settings!$D$4:$E$8,2,FALSE),0.3)*MIN(1,N(D208)/Settings!$B$7)*IF(P208="Dormant",1-0.5*(L208-Settings!$B$4)/MAX(1,Settings!$B$5-Settings!$B$4),0.25),0),"")</f>
        <v/>
      </c>
      <c r="R208" s="22">
        <f>IF(P208="Dormant",IF(AND(N(D208)&gt;=Settings!$B$6,N(Q208)&gt;=40),"Re-engage now",IF(N(D208)&gt;=Settings!$B$6,"Investigate, then decide","Low value: batch or close")),IF(P208="Likely dead","Close out or recycle to nurture",IF(P208="Active","Leave: active",IF(P208="Check dates","Add dates",""))))</f>
        <v/>
      </c>
      <c r="S208" s="23">
        <f>IF(OR(R208="Re-engage now",R208="Investigate, then decide"),Q208+ROW()/1000000,"")</f>
        <v/>
      </c>
    </row>
    <row r="209">
      <c r="A209" s="24" t="n"/>
      <c r="B209" s="24" t="n"/>
      <c r="C209" s="24" t="n"/>
      <c r="D209" s="25" t="n"/>
      <c r="E209" s="26" t="n"/>
      <c r="F209" s="26" t="n"/>
      <c r="G209" s="26" t="n"/>
      <c r="H209" s="26" t="n"/>
      <c r="I209" s="26" t="n"/>
      <c r="J209" s="24" t="n"/>
      <c r="K209" s="24" t="n"/>
      <c r="L209" s="22">
        <f>IF(A209="","",IF(AND(F209="",E209=""),"",TODAY()-IF(F209="",E209,F209)))</f>
        <v/>
      </c>
      <c r="M209" s="22">
        <f>IF(OR(A209="",E209=""),"",TODAY()-E209)</f>
        <v/>
      </c>
      <c r="N209" s="22">
        <f>IF(OR(H209="",I209=""),"",I209-H209)</f>
        <v/>
      </c>
      <c r="O209" s="22">
        <f>IF(OR(F209="",G209=""),"",IF(G209-F209&gt;Settings!$B$8,"CRM activity, no buyer contact",""))</f>
        <v/>
      </c>
      <c r="P209" s="22">
        <f>IF(A209="","",IF(OR(C209="Closed won",C209="Closed lost"),"Closed",IF(L209="","Check dates",IF(L209&gt;=Settings!$B$5,"Likely dead",IF(L209&gt;=Settings!$B$4,"Dormant","Active")))))</f>
        <v/>
      </c>
      <c r="Q209" s="22">
        <f>IF(OR(P209="Dormant",P209="Likely dead"),ROUND(100*IFERROR(VLOOKUP(C209,Settings!$D$4:$E$8,2,FALSE),0.3)*MIN(1,N(D209)/Settings!$B$7)*IF(P209="Dormant",1-0.5*(L209-Settings!$B$4)/MAX(1,Settings!$B$5-Settings!$B$4),0.25),0),"")</f>
        <v/>
      </c>
      <c r="R209" s="22">
        <f>IF(P209="Dormant",IF(AND(N(D209)&gt;=Settings!$B$6,N(Q209)&gt;=40),"Re-engage now",IF(N(D209)&gt;=Settings!$B$6,"Investigate, then decide","Low value: batch or close")),IF(P209="Likely dead","Close out or recycle to nurture",IF(P209="Active","Leave: active",IF(P209="Check dates","Add dates",""))))</f>
        <v/>
      </c>
      <c r="S209" s="23">
        <f>IF(OR(R209="Re-engage now",R209="Investigate, then decide"),Q209+ROW()/1000000,"")</f>
        <v/>
      </c>
    </row>
    <row r="210">
      <c r="A210" s="24" t="n"/>
      <c r="B210" s="24" t="n"/>
      <c r="C210" s="24" t="n"/>
      <c r="D210" s="25" t="n"/>
      <c r="E210" s="26" t="n"/>
      <c r="F210" s="26" t="n"/>
      <c r="G210" s="26" t="n"/>
      <c r="H210" s="26" t="n"/>
      <c r="I210" s="26" t="n"/>
      <c r="J210" s="24" t="n"/>
      <c r="K210" s="24" t="n"/>
      <c r="L210" s="22">
        <f>IF(A210="","",IF(AND(F210="",E210=""),"",TODAY()-IF(F210="",E210,F210)))</f>
        <v/>
      </c>
      <c r="M210" s="22">
        <f>IF(OR(A210="",E210=""),"",TODAY()-E210)</f>
        <v/>
      </c>
      <c r="N210" s="22">
        <f>IF(OR(H210="",I210=""),"",I210-H210)</f>
        <v/>
      </c>
      <c r="O210" s="22">
        <f>IF(OR(F210="",G210=""),"",IF(G210-F210&gt;Settings!$B$8,"CRM activity, no buyer contact",""))</f>
        <v/>
      </c>
      <c r="P210" s="22">
        <f>IF(A210="","",IF(OR(C210="Closed won",C210="Closed lost"),"Closed",IF(L210="","Check dates",IF(L210&gt;=Settings!$B$5,"Likely dead",IF(L210&gt;=Settings!$B$4,"Dormant","Active")))))</f>
        <v/>
      </c>
      <c r="Q210" s="22">
        <f>IF(OR(P210="Dormant",P210="Likely dead"),ROUND(100*IFERROR(VLOOKUP(C210,Settings!$D$4:$E$8,2,FALSE),0.3)*MIN(1,N(D210)/Settings!$B$7)*IF(P210="Dormant",1-0.5*(L210-Settings!$B$4)/MAX(1,Settings!$B$5-Settings!$B$4),0.25),0),"")</f>
        <v/>
      </c>
      <c r="R210" s="22">
        <f>IF(P210="Dormant",IF(AND(N(D210)&gt;=Settings!$B$6,N(Q210)&gt;=40),"Re-engage now",IF(N(D210)&gt;=Settings!$B$6,"Investigate, then decide","Low value: batch or close")),IF(P210="Likely dead","Close out or recycle to nurture",IF(P210="Active","Leave: active",IF(P210="Check dates","Add dates",""))))</f>
        <v/>
      </c>
      <c r="S210" s="23">
        <f>IF(OR(R210="Re-engage now",R210="Investigate, then decide"),Q210+ROW()/1000000,"")</f>
        <v/>
      </c>
    </row>
    <row r="211">
      <c r="A211" s="24" t="n"/>
      <c r="B211" s="24" t="n"/>
      <c r="C211" s="24" t="n"/>
      <c r="D211" s="25" t="n"/>
      <c r="E211" s="26" t="n"/>
      <c r="F211" s="26" t="n"/>
      <c r="G211" s="26" t="n"/>
      <c r="H211" s="26" t="n"/>
      <c r="I211" s="26" t="n"/>
      <c r="J211" s="24" t="n"/>
      <c r="K211" s="24" t="n"/>
      <c r="L211" s="22">
        <f>IF(A211="","",IF(AND(F211="",E211=""),"",TODAY()-IF(F211="",E211,F211)))</f>
        <v/>
      </c>
      <c r="M211" s="22">
        <f>IF(OR(A211="",E211=""),"",TODAY()-E211)</f>
        <v/>
      </c>
      <c r="N211" s="22">
        <f>IF(OR(H211="",I211=""),"",I211-H211)</f>
        <v/>
      </c>
      <c r="O211" s="22">
        <f>IF(OR(F211="",G211=""),"",IF(G211-F211&gt;Settings!$B$8,"CRM activity, no buyer contact",""))</f>
        <v/>
      </c>
      <c r="P211" s="22">
        <f>IF(A211="","",IF(OR(C211="Closed won",C211="Closed lost"),"Closed",IF(L211="","Check dates",IF(L211&gt;=Settings!$B$5,"Likely dead",IF(L211&gt;=Settings!$B$4,"Dormant","Active")))))</f>
        <v/>
      </c>
      <c r="Q211" s="22">
        <f>IF(OR(P211="Dormant",P211="Likely dead"),ROUND(100*IFERROR(VLOOKUP(C211,Settings!$D$4:$E$8,2,FALSE),0.3)*MIN(1,N(D211)/Settings!$B$7)*IF(P211="Dormant",1-0.5*(L211-Settings!$B$4)/MAX(1,Settings!$B$5-Settings!$B$4),0.25),0),"")</f>
        <v/>
      </c>
      <c r="R211" s="22">
        <f>IF(P211="Dormant",IF(AND(N(D211)&gt;=Settings!$B$6,N(Q211)&gt;=40),"Re-engage now",IF(N(D211)&gt;=Settings!$B$6,"Investigate, then decide","Low value: batch or close")),IF(P211="Likely dead","Close out or recycle to nurture",IF(P211="Active","Leave: active",IF(P211="Check dates","Add dates",""))))</f>
        <v/>
      </c>
      <c r="S211" s="23">
        <f>IF(OR(R211="Re-engage now",R211="Investigate, then decide"),Q211+ROW()/1000000,"")</f>
        <v/>
      </c>
    </row>
    <row r="212">
      <c r="A212" s="24" t="n"/>
      <c r="B212" s="24" t="n"/>
      <c r="C212" s="24" t="n"/>
      <c r="D212" s="25" t="n"/>
      <c r="E212" s="26" t="n"/>
      <c r="F212" s="26" t="n"/>
      <c r="G212" s="26" t="n"/>
      <c r="H212" s="26" t="n"/>
      <c r="I212" s="26" t="n"/>
      <c r="J212" s="24" t="n"/>
      <c r="K212" s="24" t="n"/>
      <c r="L212" s="22">
        <f>IF(A212="","",IF(AND(F212="",E212=""),"",TODAY()-IF(F212="",E212,F212)))</f>
        <v/>
      </c>
      <c r="M212" s="22">
        <f>IF(OR(A212="",E212=""),"",TODAY()-E212)</f>
        <v/>
      </c>
      <c r="N212" s="22">
        <f>IF(OR(H212="",I212=""),"",I212-H212)</f>
        <v/>
      </c>
      <c r="O212" s="22">
        <f>IF(OR(F212="",G212=""),"",IF(G212-F212&gt;Settings!$B$8,"CRM activity, no buyer contact",""))</f>
        <v/>
      </c>
      <c r="P212" s="22">
        <f>IF(A212="","",IF(OR(C212="Closed won",C212="Closed lost"),"Closed",IF(L212="","Check dates",IF(L212&gt;=Settings!$B$5,"Likely dead",IF(L212&gt;=Settings!$B$4,"Dormant","Active")))))</f>
        <v/>
      </c>
      <c r="Q212" s="22">
        <f>IF(OR(P212="Dormant",P212="Likely dead"),ROUND(100*IFERROR(VLOOKUP(C212,Settings!$D$4:$E$8,2,FALSE),0.3)*MIN(1,N(D212)/Settings!$B$7)*IF(P212="Dormant",1-0.5*(L212-Settings!$B$4)/MAX(1,Settings!$B$5-Settings!$B$4),0.25),0),"")</f>
        <v/>
      </c>
      <c r="R212" s="22">
        <f>IF(P212="Dormant",IF(AND(N(D212)&gt;=Settings!$B$6,N(Q212)&gt;=40),"Re-engage now",IF(N(D212)&gt;=Settings!$B$6,"Investigate, then decide","Low value: batch or close")),IF(P212="Likely dead","Close out or recycle to nurture",IF(P212="Active","Leave: active",IF(P212="Check dates","Add dates",""))))</f>
        <v/>
      </c>
      <c r="S212" s="23">
        <f>IF(OR(R212="Re-engage now",R212="Investigate, then decide"),Q212+ROW()/1000000,"")</f>
        <v/>
      </c>
    </row>
    <row r="213">
      <c r="A213" s="24" t="n"/>
      <c r="B213" s="24" t="n"/>
      <c r="C213" s="24" t="n"/>
      <c r="D213" s="25" t="n"/>
      <c r="E213" s="26" t="n"/>
      <c r="F213" s="26" t="n"/>
      <c r="G213" s="26" t="n"/>
      <c r="H213" s="26" t="n"/>
      <c r="I213" s="26" t="n"/>
      <c r="J213" s="24" t="n"/>
      <c r="K213" s="24" t="n"/>
      <c r="L213" s="22">
        <f>IF(A213="","",IF(AND(F213="",E213=""),"",TODAY()-IF(F213="",E213,F213)))</f>
        <v/>
      </c>
      <c r="M213" s="22">
        <f>IF(OR(A213="",E213=""),"",TODAY()-E213)</f>
        <v/>
      </c>
      <c r="N213" s="22">
        <f>IF(OR(H213="",I213=""),"",I213-H213)</f>
        <v/>
      </c>
      <c r="O213" s="22">
        <f>IF(OR(F213="",G213=""),"",IF(G213-F213&gt;Settings!$B$8,"CRM activity, no buyer contact",""))</f>
        <v/>
      </c>
      <c r="P213" s="22">
        <f>IF(A213="","",IF(OR(C213="Closed won",C213="Closed lost"),"Closed",IF(L213="","Check dates",IF(L213&gt;=Settings!$B$5,"Likely dead",IF(L213&gt;=Settings!$B$4,"Dormant","Active")))))</f>
        <v/>
      </c>
      <c r="Q213" s="22">
        <f>IF(OR(P213="Dormant",P213="Likely dead"),ROUND(100*IFERROR(VLOOKUP(C213,Settings!$D$4:$E$8,2,FALSE),0.3)*MIN(1,N(D213)/Settings!$B$7)*IF(P213="Dormant",1-0.5*(L213-Settings!$B$4)/MAX(1,Settings!$B$5-Settings!$B$4),0.25),0),"")</f>
        <v/>
      </c>
      <c r="R213" s="22">
        <f>IF(P213="Dormant",IF(AND(N(D213)&gt;=Settings!$B$6,N(Q213)&gt;=40),"Re-engage now",IF(N(D213)&gt;=Settings!$B$6,"Investigate, then decide","Low value: batch or close")),IF(P213="Likely dead","Close out or recycle to nurture",IF(P213="Active","Leave: active",IF(P213="Check dates","Add dates",""))))</f>
        <v/>
      </c>
      <c r="S213" s="23">
        <f>IF(OR(R213="Re-engage now",R213="Investigate, then decide"),Q213+ROW()/1000000,"")</f>
        <v/>
      </c>
    </row>
    <row r="214">
      <c r="A214" s="24" t="n"/>
      <c r="B214" s="24" t="n"/>
      <c r="C214" s="24" t="n"/>
      <c r="D214" s="25" t="n"/>
      <c r="E214" s="26" t="n"/>
      <c r="F214" s="26" t="n"/>
      <c r="G214" s="26" t="n"/>
      <c r="H214" s="26" t="n"/>
      <c r="I214" s="26" t="n"/>
      <c r="J214" s="24" t="n"/>
      <c r="K214" s="24" t="n"/>
      <c r="L214" s="22">
        <f>IF(A214="","",IF(AND(F214="",E214=""),"",TODAY()-IF(F214="",E214,F214)))</f>
        <v/>
      </c>
      <c r="M214" s="22">
        <f>IF(OR(A214="",E214=""),"",TODAY()-E214)</f>
        <v/>
      </c>
      <c r="N214" s="22">
        <f>IF(OR(H214="",I214=""),"",I214-H214)</f>
        <v/>
      </c>
      <c r="O214" s="22">
        <f>IF(OR(F214="",G214=""),"",IF(G214-F214&gt;Settings!$B$8,"CRM activity, no buyer contact",""))</f>
        <v/>
      </c>
      <c r="P214" s="22">
        <f>IF(A214="","",IF(OR(C214="Closed won",C214="Closed lost"),"Closed",IF(L214="","Check dates",IF(L214&gt;=Settings!$B$5,"Likely dead",IF(L214&gt;=Settings!$B$4,"Dormant","Active")))))</f>
        <v/>
      </c>
      <c r="Q214" s="22">
        <f>IF(OR(P214="Dormant",P214="Likely dead"),ROUND(100*IFERROR(VLOOKUP(C214,Settings!$D$4:$E$8,2,FALSE),0.3)*MIN(1,N(D214)/Settings!$B$7)*IF(P214="Dormant",1-0.5*(L214-Settings!$B$4)/MAX(1,Settings!$B$5-Settings!$B$4),0.25),0),"")</f>
        <v/>
      </c>
      <c r="R214" s="22">
        <f>IF(P214="Dormant",IF(AND(N(D214)&gt;=Settings!$B$6,N(Q214)&gt;=40),"Re-engage now",IF(N(D214)&gt;=Settings!$B$6,"Investigate, then decide","Low value: batch or close")),IF(P214="Likely dead","Close out or recycle to nurture",IF(P214="Active","Leave: active",IF(P214="Check dates","Add dates",""))))</f>
        <v/>
      </c>
      <c r="S214" s="23">
        <f>IF(OR(R214="Re-engage now",R214="Investigate, then decide"),Q214+ROW()/1000000,"")</f>
        <v/>
      </c>
    </row>
    <row r="215">
      <c r="A215" s="24" t="n"/>
      <c r="B215" s="24" t="n"/>
      <c r="C215" s="24" t="n"/>
      <c r="D215" s="25" t="n"/>
      <c r="E215" s="26" t="n"/>
      <c r="F215" s="26" t="n"/>
      <c r="G215" s="26" t="n"/>
      <c r="H215" s="26" t="n"/>
      <c r="I215" s="26" t="n"/>
      <c r="J215" s="24" t="n"/>
      <c r="K215" s="24" t="n"/>
      <c r="L215" s="22">
        <f>IF(A215="","",IF(AND(F215="",E215=""),"",TODAY()-IF(F215="",E215,F215)))</f>
        <v/>
      </c>
      <c r="M215" s="22">
        <f>IF(OR(A215="",E215=""),"",TODAY()-E215)</f>
        <v/>
      </c>
      <c r="N215" s="22">
        <f>IF(OR(H215="",I215=""),"",I215-H215)</f>
        <v/>
      </c>
      <c r="O215" s="22">
        <f>IF(OR(F215="",G215=""),"",IF(G215-F215&gt;Settings!$B$8,"CRM activity, no buyer contact",""))</f>
        <v/>
      </c>
      <c r="P215" s="22">
        <f>IF(A215="","",IF(OR(C215="Closed won",C215="Closed lost"),"Closed",IF(L215="","Check dates",IF(L215&gt;=Settings!$B$5,"Likely dead",IF(L215&gt;=Settings!$B$4,"Dormant","Active")))))</f>
        <v/>
      </c>
      <c r="Q215" s="22">
        <f>IF(OR(P215="Dormant",P215="Likely dead"),ROUND(100*IFERROR(VLOOKUP(C215,Settings!$D$4:$E$8,2,FALSE),0.3)*MIN(1,N(D215)/Settings!$B$7)*IF(P215="Dormant",1-0.5*(L215-Settings!$B$4)/MAX(1,Settings!$B$5-Settings!$B$4),0.25),0),"")</f>
        <v/>
      </c>
      <c r="R215" s="22">
        <f>IF(P215="Dormant",IF(AND(N(D215)&gt;=Settings!$B$6,N(Q215)&gt;=40),"Re-engage now",IF(N(D215)&gt;=Settings!$B$6,"Investigate, then decide","Low value: batch or close")),IF(P215="Likely dead","Close out or recycle to nurture",IF(P215="Active","Leave: active",IF(P215="Check dates","Add dates",""))))</f>
        <v/>
      </c>
      <c r="S215" s="23">
        <f>IF(OR(R215="Re-engage now",R215="Investigate, then decide"),Q215+ROW()/1000000,"")</f>
        <v/>
      </c>
    </row>
    <row r="216">
      <c r="A216" s="24" t="n"/>
      <c r="B216" s="24" t="n"/>
      <c r="C216" s="24" t="n"/>
      <c r="D216" s="25" t="n"/>
      <c r="E216" s="26" t="n"/>
      <c r="F216" s="26" t="n"/>
      <c r="G216" s="26" t="n"/>
      <c r="H216" s="26" t="n"/>
      <c r="I216" s="26" t="n"/>
      <c r="J216" s="24" t="n"/>
      <c r="K216" s="24" t="n"/>
      <c r="L216" s="22">
        <f>IF(A216="","",IF(AND(F216="",E216=""),"",TODAY()-IF(F216="",E216,F216)))</f>
        <v/>
      </c>
      <c r="M216" s="22">
        <f>IF(OR(A216="",E216=""),"",TODAY()-E216)</f>
        <v/>
      </c>
      <c r="N216" s="22">
        <f>IF(OR(H216="",I216=""),"",I216-H216)</f>
        <v/>
      </c>
      <c r="O216" s="22">
        <f>IF(OR(F216="",G216=""),"",IF(G216-F216&gt;Settings!$B$8,"CRM activity, no buyer contact",""))</f>
        <v/>
      </c>
      <c r="P216" s="22">
        <f>IF(A216="","",IF(OR(C216="Closed won",C216="Closed lost"),"Closed",IF(L216="","Check dates",IF(L216&gt;=Settings!$B$5,"Likely dead",IF(L216&gt;=Settings!$B$4,"Dormant","Active")))))</f>
        <v/>
      </c>
      <c r="Q216" s="22">
        <f>IF(OR(P216="Dormant",P216="Likely dead"),ROUND(100*IFERROR(VLOOKUP(C216,Settings!$D$4:$E$8,2,FALSE),0.3)*MIN(1,N(D216)/Settings!$B$7)*IF(P216="Dormant",1-0.5*(L216-Settings!$B$4)/MAX(1,Settings!$B$5-Settings!$B$4),0.25),0),"")</f>
        <v/>
      </c>
      <c r="R216" s="22">
        <f>IF(P216="Dormant",IF(AND(N(D216)&gt;=Settings!$B$6,N(Q216)&gt;=40),"Re-engage now",IF(N(D216)&gt;=Settings!$B$6,"Investigate, then decide","Low value: batch or close")),IF(P216="Likely dead","Close out or recycle to nurture",IF(P216="Active","Leave: active",IF(P216="Check dates","Add dates",""))))</f>
        <v/>
      </c>
      <c r="S216" s="23">
        <f>IF(OR(R216="Re-engage now",R216="Investigate, then decide"),Q216+ROW()/1000000,"")</f>
        <v/>
      </c>
    </row>
    <row r="217">
      <c r="A217" s="24" t="n"/>
      <c r="B217" s="24" t="n"/>
      <c r="C217" s="24" t="n"/>
      <c r="D217" s="25" t="n"/>
      <c r="E217" s="26" t="n"/>
      <c r="F217" s="26" t="n"/>
      <c r="G217" s="26" t="n"/>
      <c r="H217" s="26" t="n"/>
      <c r="I217" s="26" t="n"/>
      <c r="J217" s="24" t="n"/>
      <c r="K217" s="24" t="n"/>
      <c r="L217" s="22">
        <f>IF(A217="","",IF(AND(F217="",E217=""),"",TODAY()-IF(F217="",E217,F217)))</f>
        <v/>
      </c>
      <c r="M217" s="22">
        <f>IF(OR(A217="",E217=""),"",TODAY()-E217)</f>
        <v/>
      </c>
      <c r="N217" s="22">
        <f>IF(OR(H217="",I217=""),"",I217-H217)</f>
        <v/>
      </c>
      <c r="O217" s="22">
        <f>IF(OR(F217="",G217=""),"",IF(G217-F217&gt;Settings!$B$8,"CRM activity, no buyer contact",""))</f>
        <v/>
      </c>
      <c r="P217" s="22">
        <f>IF(A217="","",IF(OR(C217="Closed won",C217="Closed lost"),"Closed",IF(L217="","Check dates",IF(L217&gt;=Settings!$B$5,"Likely dead",IF(L217&gt;=Settings!$B$4,"Dormant","Active")))))</f>
        <v/>
      </c>
      <c r="Q217" s="22">
        <f>IF(OR(P217="Dormant",P217="Likely dead"),ROUND(100*IFERROR(VLOOKUP(C217,Settings!$D$4:$E$8,2,FALSE),0.3)*MIN(1,N(D217)/Settings!$B$7)*IF(P217="Dormant",1-0.5*(L217-Settings!$B$4)/MAX(1,Settings!$B$5-Settings!$B$4),0.25),0),"")</f>
        <v/>
      </c>
      <c r="R217" s="22">
        <f>IF(P217="Dormant",IF(AND(N(D217)&gt;=Settings!$B$6,N(Q217)&gt;=40),"Re-engage now",IF(N(D217)&gt;=Settings!$B$6,"Investigate, then decide","Low value: batch or close")),IF(P217="Likely dead","Close out or recycle to nurture",IF(P217="Active","Leave: active",IF(P217="Check dates","Add dates",""))))</f>
        <v/>
      </c>
      <c r="S217" s="23">
        <f>IF(OR(R217="Re-engage now",R217="Investigate, then decide"),Q217+ROW()/1000000,"")</f>
        <v/>
      </c>
    </row>
    <row r="218">
      <c r="A218" s="24" t="n"/>
      <c r="B218" s="24" t="n"/>
      <c r="C218" s="24" t="n"/>
      <c r="D218" s="25" t="n"/>
      <c r="E218" s="26" t="n"/>
      <c r="F218" s="26" t="n"/>
      <c r="G218" s="26" t="n"/>
      <c r="H218" s="26" t="n"/>
      <c r="I218" s="26" t="n"/>
      <c r="J218" s="24" t="n"/>
      <c r="K218" s="24" t="n"/>
      <c r="L218" s="22">
        <f>IF(A218="","",IF(AND(F218="",E218=""),"",TODAY()-IF(F218="",E218,F218)))</f>
        <v/>
      </c>
      <c r="M218" s="22">
        <f>IF(OR(A218="",E218=""),"",TODAY()-E218)</f>
        <v/>
      </c>
      <c r="N218" s="22">
        <f>IF(OR(H218="",I218=""),"",I218-H218)</f>
        <v/>
      </c>
      <c r="O218" s="22">
        <f>IF(OR(F218="",G218=""),"",IF(G218-F218&gt;Settings!$B$8,"CRM activity, no buyer contact",""))</f>
        <v/>
      </c>
      <c r="P218" s="22">
        <f>IF(A218="","",IF(OR(C218="Closed won",C218="Closed lost"),"Closed",IF(L218="","Check dates",IF(L218&gt;=Settings!$B$5,"Likely dead",IF(L218&gt;=Settings!$B$4,"Dormant","Active")))))</f>
        <v/>
      </c>
      <c r="Q218" s="22">
        <f>IF(OR(P218="Dormant",P218="Likely dead"),ROUND(100*IFERROR(VLOOKUP(C218,Settings!$D$4:$E$8,2,FALSE),0.3)*MIN(1,N(D218)/Settings!$B$7)*IF(P218="Dormant",1-0.5*(L218-Settings!$B$4)/MAX(1,Settings!$B$5-Settings!$B$4),0.25),0),"")</f>
        <v/>
      </c>
      <c r="R218" s="22">
        <f>IF(P218="Dormant",IF(AND(N(D218)&gt;=Settings!$B$6,N(Q218)&gt;=40),"Re-engage now",IF(N(D218)&gt;=Settings!$B$6,"Investigate, then decide","Low value: batch or close")),IF(P218="Likely dead","Close out or recycle to nurture",IF(P218="Active","Leave: active",IF(P218="Check dates","Add dates",""))))</f>
        <v/>
      </c>
      <c r="S218" s="23">
        <f>IF(OR(R218="Re-engage now",R218="Investigate, then decide"),Q218+ROW()/1000000,"")</f>
        <v/>
      </c>
    </row>
    <row r="219">
      <c r="A219" s="24" t="n"/>
      <c r="B219" s="24" t="n"/>
      <c r="C219" s="24" t="n"/>
      <c r="D219" s="25" t="n"/>
      <c r="E219" s="26" t="n"/>
      <c r="F219" s="26" t="n"/>
      <c r="G219" s="26" t="n"/>
      <c r="H219" s="26" t="n"/>
      <c r="I219" s="26" t="n"/>
      <c r="J219" s="24" t="n"/>
      <c r="K219" s="24" t="n"/>
      <c r="L219" s="22">
        <f>IF(A219="","",IF(AND(F219="",E219=""),"",TODAY()-IF(F219="",E219,F219)))</f>
        <v/>
      </c>
      <c r="M219" s="22">
        <f>IF(OR(A219="",E219=""),"",TODAY()-E219)</f>
        <v/>
      </c>
      <c r="N219" s="22">
        <f>IF(OR(H219="",I219=""),"",I219-H219)</f>
        <v/>
      </c>
      <c r="O219" s="22">
        <f>IF(OR(F219="",G219=""),"",IF(G219-F219&gt;Settings!$B$8,"CRM activity, no buyer contact",""))</f>
        <v/>
      </c>
      <c r="P219" s="22">
        <f>IF(A219="","",IF(OR(C219="Closed won",C219="Closed lost"),"Closed",IF(L219="","Check dates",IF(L219&gt;=Settings!$B$5,"Likely dead",IF(L219&gt;=Settings!$B$4,"Dormant","Active")))))</f>
        <v/>
      </c>
      <c r="Q219" s="22">
        <f>IF(OR(P219="Dormant",P219="Likely dead"),ROUND(100*IFERROR(VLOOKUP(C219,Settings!$D$4:$E$8,2,FALSE),0.3)*MIN(1,N(D219)/Settings!$B$7)*IF(P219="Dormant",1-0.5*(L219-Settings!$B$4)/MAX(1,Settings!$B$5-Settings!$B$4),0.25),0),"")</f>
        <v/>
      </c>
      <c r="R219" s="22">
        <f>IF(P219="Dormant",IF(AND(N(D219)&gt;=Settings!$B$6,N(Q219)&gt;=40),"Re-engage now",IF(N(D219)&gt;=Settings!$B$6,"Investigate, then decide","Low value: batch or close")),IF(P219="Likely dead","Close out or recycle to nurture",IF(P219="Active","Leave: active",IF(P219="Check dates","Add dates",""))))</f>
        <v/>
      </c>
      <c r="S219" s="23">
        <f>IF(OR(R219="Re-engage now",R219="Investigate, then decide"),Q219+ROW()/1000000,"")</f>
        <v/>
      </c>
    </row>
    <row r="220">
      <c r="A220" s="24" t="n"/>
      <c r="B220" s="24" t="n"/>
      <c r="C220" s="24" t="n"/>
      <c r="D220" s="25" t="n"/>
      <c r="E220" s="26" t="n"/>
      <c r="F220" s="26" t="n"/>
      <c r="G220" s="26" t="n"/>
      <c r="H220" s="26" t="n"/>
      <c r="I220" s="26" t="n"/>
      <c r="J220" s="24" t="n"/>
      <c r="K220" s="24" t="n"/>
      <c r="L220" s="22">
        <f>IF(A220="","",IF(AND(F220="",E220=""),"",TODAY()-IF(F220="",E220,F220)))</f>
        <v/>
      </c>
      <c r="M220" s="22">
        <f>IF(OR(A220="",E220=""),"",TODAY()-E220)</f>
        <v/>
      </c>
      <c r="N220" s="22">
        <f>IF(OR(H220="",I220=""),"",I220-H220)</f>
        <v/>
      </c>
      <c r="O220" s="22">
        <f>IF(OR(F220="",G220=""),"",IF(G220-F220&gt;Settings!$B$8,"CRM activity, no buyer contact",""))</f>
        <v/>
      </c>
      <c r="P220" s="22">
        <f>IF(A220="","",IF(OR(C220="Closed won",C220="Closed lost"),"Closed",IF(L220="","Check dates",IF(L220&gt;=Settings!$B$5,"Likely dead",IF(L220&gt;=Settings!$B$4,"Dormant","Active")))))</f>
        <v/>
      </c>
      <c r="Q220" s="22">
        <f>IF(OR(P220="Dormant",P220="Likely dead"),ROUND(100*IFERROR(VLOOKUP(C220,Settings!$D$4:$E$8,2,FALSE),0.3)*MIN(1,N(D220)/Settings!$B$7)*IF(P220="Dormant",1-0.5*(L220-Settings!$B$4)/MAX(1,Settings!$B$5-Settings!$B$4),0.25),0),"")</f>
        <v/>
      </c>
      <c r="R220" s="22">
        <f>IF(P220="Dormant",IF(AND(N(D220)&gt;=Settings!$B$6,N(Q220)&gt;=40),"Re-engage now",IF(N(D220)&gt;=Settings!$B$6,"Investigate, then decide","Low value: batch or close")),IF(P220="Likely dead","Close out or recycle to nurture",IF(P220="Active","Leave: active",IF(P220="Check dates","Add dates",""))))</f>
        <v/>
      </c>
      <c r="S220" s="23">
        <f>IF(OR(R220="Re-engage now",R220="Investigate, then decide"),Q220+ROW()/1000000,"")</f>
        <v/>
      </c>
    </row>
    <row r="221">
      <c r="A221" s="24" t="n"/>
      <c r="B221" s="24" t="n"/>
      <c r="C221" s="24" t="n"/>
      <c r="D221" s="25" t="n"/>
      <c r="E221" s="26" t="n"/>
      <c r="F221" s="26" t="n"/>
      <c r="G221" s="26" t="n"/>
      <c r="H221" s="26" t="n"/>
      <c r="I221" s="26" t="n"/>
      <c r="J221" s="24" t="n"/>
      <c r="K221" s="24" t="n"/>
      <c r="L221" s="22">
        <f>IF(A221="","",IF(AND(F221="",E221=""),"",TODAY()-IF(F221="",E221,F221)))</f>
        <v/>
      </c>
      <c r="M221" s="22">
        <f>IF(OR(A221="",E221=""),"",TODAY()-E221)</f>
        <v/>
      </c>
      <c r="N221" s="22">
        <f>IF(OR(H221="",I221=""),"",I221-H221)</f>
        <v/>
      </c>
      <c r="O221" s="22">
        <f>IF(OR(F221="",G221=""),"",IF(G221-F221&gt;Settings!$B$8,"CRM activity, no buyer contact",""))</f>
        <v/>
      </c>
      <c r="P221" s="22">
        <f>IF(A221="","",IF(OR(C221="Closed won",C221="Closed lost"),"Closed",IF(L221="","Check dates",IF(L221&gt;=Settings!$B$5,"Likely dead",IF(L221&gt;=Settings!$B$4,"Dormant","Active")))))</f>
        <v/>
      </c>
      <c r="Q221" s="22">
        <f>IF(OR(P221="Dormant",P221="Likely dead"),ROUND(100*IFERROR(VLOOKUP(C221,Settings!$D$4:$E$8,2,FALSE),0.3)*MIN(1,N(D221)/Settings!$B$7)*IF(P221="Dormant",1-0.5*(L221-Settings!$B$4)/MAX(1,Settings!$B$5-Settings!$B$4),0.25),0),"")</f>
        <v/>
      </c>
      <c r="R221" s="22">
        <f>IF(P221="Dormant",IF(AND(N(D221)&gt;=Settings!$B$6,N(Q221)&gt;=40),"Re-engage now",IF(N(D221)&gt;=Settings!$B$6,"Investigate, then decide","Low value: batch or close")),IF(P221="Likely dead","Close out or recycle to nurture",IF(P221="Active","Leave: active",IF(P221="Check dates","Add dates",""))))</f>
        <v/>
      </c>
      <c r="S221" s="23">
        <f>IF(OR(R221="Re-engage now",R221="Investigate, then decide"),Q221+ROW()/1000000,"")</f>
        <v/>
      </c>
    </row>
    <row r="222">
      <c r="A222" s="24" t="n"/>
      <c r="B222" s="24" t="n"/>
      <c r="C222" s="24" t="n"/>
      <c r="D222" s="25" t="n"/>
      <c r="E222" s="26" t="n"/>
      <c r="F222" s="26" t="n"/>
      <c r="G222" s="26" t="n"/>
      <c r="H222" s="26" t="n"/>
      <c r="I222" s="26" t="n"/>
      <c r="J222" s="24" t="n"/>
      <c r="K222" s="24" t="n"/>
      <c r="L222" s="22">
        <f>IF(A222="","",IF(AND(F222="",E222=""),"",TODAY()-IF(F222="",E222,F222)))</f>
        <v/>
      </c>
      <c r="M222" s="22">
        <f>IF(OR(A222="",E222=""),"",TODAY()-E222)</f>
        <v/>
      </c>
      <c r="N222" s="22">
        <f>IF(OR(H222="",I222=""),"",I222-H222)</f>
        <v/>
      </c>
      <c r="O222" s="22">
        <f>IF(OR(F222="",G222=""),"",IF(G222-F222&gt;Settings!$B$8,"CRM activity, no buyer contact",""))</f>
        <v/>
      </c>
      <c r="P222" s="22">
        <f>IF(A222="","",IF(OR(C222="Closed won",C222="Closed lost"),"Closed",IF(L222="","Check dates",IF(L222&gt;=Settings!$B$5,"Likely dead",IF(L222&gt;=Settings!$B$4,"Dormant","Active")))))</f>
        <v/>
      </c>
      <c r="Q222" s="22">
        <f>IF(OR(P222="Dormant",P222="Likely dead"),ROUND(100*IFERROR(VLOOKUP(C222,Settings!$D$4:$E$8,2,FALSE),0.3)*MIN(1,N(D222)/Settings!$B$7)*IF(P222="Dormant",1-0.5*(L222-Settings!$B$4)/MAX(1,Settings!$B$5-Settings!$B$4),0.25),0),"")</f>
        <v/>
      </c>
      <c r="R222" s="22">
        <f>IF(P222="Dormant",IF(AND(N(D222)&gt;=Settings!$B$6,N(Q222)&gt;=40),"Re-engage now",IF(N(D222)&gt;=Settings!$B$6,"Investigate, then decide","Low value: batch or close")),IF(P222="Likely dead","Close out or recycle to nurture",IF(P222="Active","Leave: active",IF(P222="Check dates","Add dates",""))))</f>
        <v/>
      </c>
      <c r="S222" s="23">
        <f>IF(OR(R222="Re-engage now",R222="Investigate, then decide"),Q222+ROW()/1000000,"")</f>
        <v/>
      </c>
    </row>
    <row r="223">
      <c r="A223" s="24" t="n"/>
      <c r="B223" s="24" t="n"/>
      <c r="C223" s="24" t="n"/>
      <c r="D223" s="25" t="n"/>
      <c r="E223" s="26" t="n"/>
      <c r="F223" s="26" t="n"/>
      <c r="G223" s="26" t="n"/>
      <c r="H223" s="26" t="n"/>
      <c r="I223" s="26" t="n"/>
      <c r="J223" s="24" t="n"/>
      <c r="K223" s="24" t="n"/>
      <c r="L223" s="22">
        <f>IF(A223="","",IF(AND(F223="",E223=""),"",TODAY()-IF(F223="",E223,F223)))</f>
        <v/>
      </c>
      <c r="M223" s="22">
        <f>IF(OR(A223="",E223=""),"",TODAY()-E223)</f>
        <v/>
      </c>
      <c r="N223" s="22">
        <f>IF(OR(H223="",I223=""),"",I223-H223)</f>
        <v/>
      </c>
      <c r="O223" s="22">
        <f>IF(OR(F223="",G223=""),"",IF(G223-F223&gt;Settings!$B$8,"CRM activity, no buyer contact",""))</f>
        <v/>
      </c>
      <c r="P223" s="22">
        <f>IF(A223="","",IF(OR(C223="Closed won",C223="Closed lost"),"Closed",IF(L223="","Check dates",IF(L223&gt;=Settings!$B$5,"Likely dead",IF(L223&gt;=Settings!$B$4,"Dormant","Active")))))</f>
        <v/>
      </c>
      <c r="Q223" s="22">
        <f>IF(OR(P223="Dormant",P223="Likely dead"),ROUND(100*IFERROR(VLOOKUP(C223,Settings!$D$4:$E$8,2,FALSE),0.3)*MIN(1,N(D223)/Settings!$B$7)*IF(P223="Dormant",1-0.5*(L223-Settings!$B$4)/MAX(1,Settings!$B$5-Settings!$B$4),0.25),0),"")</f>
        <v/>
      </c>
      <c r="R223" s="22">
        <f>IF(P223="Dormant",IF(AND(N(D223)&gt;=Settings!$B$6,N(Q223)&gt;=40),"Re-engage now",IF(N(D223)&gt;=Settings!$B$6,"Investigate, then decide","Low value: batch or close")),IF(P223="Likely dead","Close out or recycle to nurture",IF(P223="Active","Leave: active",IF(P223="Check dates","Add dates",""))))</f>
        <v/>
      </c>
      <c r="S223" s="23">
        <f>IF(OR(R223="Re-engage now",R223="Investigate, then decide"),Q223+ROW()/1000000,"")</f>
        <v/>
      </c>
    </row>
    <row r="224">
      <c r="A224" s="24" t="n"/>
      <c r="B224" s="24" t="n"/>
      <c r="C224" s="24" t="n"/>
      <c r="D224" s="25" t="n"/>
      <c r="E224" s="26" t="n"/>
      <c r="F224" s="26" t="n"/>
      <c r="G224" s="26" t="n"/>
      <c r="H224" s="26" t="n"/>
      <c r="I224" s="26" t="n"/>
      <c r="J224" s="24" t="n"/>
      <c r="K224" s="24" t="n"/>
      <c r="L224" s="22">
        <f>IF(A224="","",IF(AND(F224="",E224=""),"",TODAY()-IF(F224="",E224,F224)))</f>
        <v/>
      </c>
      <c r="M224" s="22">
        <f>IF(OR(A224="",E224=""),"",TODAY()-E224)</f>
        <v/>
      </c>
      <c r="N224" s="22">
        <f>IF(OR(H224="",I224=""),"",I224-H224)</f>
        <v/>
      </c>
      <c r="O224" s="22">
        <f>IF(OR(F224="",G224=""),"",IF(G224-F224&gt;Settings!$B$8,"CRM activity, no buyer contact",""))</f>
        <v/>
      </c>
      <c r="P224" s="22">
        <f>IF(A224="","",IF(OR(C224="Closed won",C224="Closed lost"),"Closed",IF(L224="","Check dates",IF(L224&gt;=Settings!$B$5,"Likely dead",IF(L224&gt;=Settings!$B$4,"Dormant","Active")))))</f>
        <v/>
      </c>
      <c r="Q224" s="22">
        <f>IF(OR(P224="Dormant",P224="Likely dead"),ROUND(100*IFERROR(VLOOKUP(C224,Settings!$D$4:$E$8,2,FALSE),0.3)*MIN(1,N(D224)/Settings!$B$7)*IF(P224="Dormant",1-0.5*(L224-Settings!$B$4)/MAX(1,Settings!$B$5-Settings!$B$4),0.25),0),"")</f>
        <v/>
      </c>
      <c r="R224" s="22">
        <f>IF(P224="Dormant",IF(AND(N(D224)&gt;=Settings!$B$6,N(Q224)&gt;=40),"Re-engage now",IF(N(D224)&gt;=Settings!$B$6,"Investigate, then decide","Low value: batch or close")),IF(P224="Likely dead","Close out or recycle to nurture",IF(P224="Active","Leave: active",IF(P224="Check dates","Add dates",""))))</f>
        <v/>
      </c>
      <c r="S224" s="23">
        <f>IF(OR(R224="Re-engage now",R224="Investigate, then decide"),Q224+ROW()/1000000,"")</f>
        <v/>
      </c>
    </row>
    <row r="225">
      <c r="A225" s="24" t="n"/>
      <c r="B225" s="24" t="n"/>
      <c r="C225" s="24" t="n"/>
      <c r="D225" s="25" t="n"/>
      <c r="E225" s="26" t="n"/>
      <c r="F225" s="26" t="n"/>
      <c r="G225" s="26" t="n"/>
      <c r="H225" s="26" t="n"/>
      <c r="I225" s="26" t="n"/>
      <c r="J225" s="24" t="n"/>
      <c r="K225" s="24" t="n"/>
      <c r="L225" s="22">
        <f>IF(A225="","",IF(AND(F225="",E225=""),"",TODAY()-IF(F225="",E225,F225)))</f>
        <v/>
      </c>
      <c r="M225" s="22">
        <f>IF(OR(A225="",E225=""),"",TODAY()-E225)</f>
        <v/>
      </c>
      <c r="N225" s="22">
        <f>IF(OR(H225="",I225=""),"",I225-H225)</f>
        <v/>
      </c>
      <c r="O225" s="22">
        <f>IF(OR(F225="",G225=""),"",IF(G225-F225&gt;Settings!$B$8,"CRM activity, no buyer contact",""))</f>
        <v/>
      </c>
      <c r="P225" s="22">
        <f>IF(A225="","",IF(OR(C225="Closed won",C225="Closed lost"),"Closed",IF(L225="","Check dates",IF(L225&gt;=Settings!$B$5,"Likely dead",IF(L225&gt;=Settings!$B$4,"Dormant","Active")))))</f>
        <v/>
      </c>
      <c r="Q225" s="22">
        <f>IF(OR(P225="Dormant",P225="Likely dead"),ROUND(100*IFERROR(VLOOKUP(C225,Settings!$D$4:$E$8,2,FALSE),0.3)*MIN(1,N(D225)/Settings!$B$7)*IF(P225="Dormant",1-0.5*(L225-Settings!$B$4)/MAX(1,Settings!$B$5-Settings!$B$4),0.25),0),"")</f>
        <v/>
      </c>
      <c r="R225" s="22">
        <f>IF(P225="Dormant",IF(AND(N(D225)&gt;=Settings!$B$6,N(Q225)&gt;=40),"Re-engage now",IF(N(D225)&gt;=Settings!$B$6,"Investigate, then decide","Low value: batch or close")),IF(P225="Likely dead","Close out or recycle to nurture",IF(P225="Active","Leave: active",IF(P225="Check dates","Add dates",""))))</f>
        <v/>
      </c>
      <c r="S225" s="23">
        <f>IF(OR(R225="Re-engage now",R225="Investigate, then decide"),Q225+ROW()/1000000,"")</f>
        <v/>
      </c>
    </row>
    <row r="226">
      <c r="A226" s="24" t="n"/>
      <c r="B226" s="24" t="n"/>
      <c r="C226" s="24" t="n"/>
      <c r="D226" s="25" t="n"/>
      <c r="E226" s="26" t="n"/>
      <c r="F226" s="26" t="n"/>
      <c r="G226" s="26" t="n"/>
      <c r="H226" s="26" t="n"/>
      <c r="I226" s="26" t="n"/>
      <c r="J226" s="24" t="n"/>
      <c r="K226" s="24" t="n"/>
      <c r="L226" s="22">
        <f>IF(A226="","",IF(AND(F226="",E226=""),"",TODAY()-IF(F226="",E226,F226)))</f>
        <v/>
      </c>
      <c r="M226" s="22">
        <f>IF(OR(A226="",E226=""),"",TODAY()-E226)</f>
        <v/>
      </c>
      <c r="N226" s="22">
        <f>IF(OR(H226="",I226=""),"",I226-H226)</f>
        <v/>
      </c>
      <c r="O226" s="22">
        <f>IF(OR(F226="",G226=""),"",IF(G226-F226&gt;Settings!$B$8,"CRM activity, no buyer contact",""))</f>
        <v/>
      </c>
      <c r="P226" s="22">
        <f>IF(A226="","",IF(OR(C226="Closed won",C226="Closed lost"),"Closed",IF(L226="","Check dates",IF(L226&gt;=Settings!$B$5,"Likely dead",IF(L226&gt;=Settings!$B$4,"Dormant","Active")))))</f>
        <v/>
      </c>
      <c r="Q226" s="22">
        <f>IF(OR(P226="Dormant",P226="Likely dead"),ROUND(100*IFERROR(VLOOKUP(C226,Settings!$D$4:$E$8,2,FALSE),0.3)*MIN(1,N(D226)/Settings!$B$7)*IF(P226="Dormant",1-0.5*(L226-Settings!$B$4)/MAX(1,Settings!$B$5-Settings!$B$4),0.25),0),"")</f>
        <v/>
      </c>
      <c r="R226" s="22">
        <f>IF(P226="Dormant",IF(AND(N(D226)&gt;=Settings!$B$6,N(Q226)&gt;=40),"Re-engage now",IF(N(D226)&gt;=Settings!$B$6,"Investigate, then decide","Low value: batch or close")),IF(P226="Likely dead","Close out or recycle to nurture",IF(P226="Active","Leave: active",IF(P226="Check dates","Add dates",""))))</f>
        <v/>
      </c>
      <c r="S226" s="23">
        <f>IF(OR(R226="Re-engage now",R226="Investigate, then decide"),Q226+ROW()/1000000,"")</f>
        <v/>
      </c>
    </row>
    <row r="227">
      <c r="A227" s="24" t="n"/>
      <c r="B227" s="24" t="n"/>
      <c r="C227" s="24" t="n"/>
      <c r="D227" s="25" t="n"/>
      <c r="E227" s="26" t="n"/>
      <c r="F227" s="26" t="n"/>
      <c r="G227" s="26" t="n"/>
      <c r="H227" s="26" t="n"/>
      <c r="I227" s="26" t="n"/>
      <c r="J227" s="24" t="n"/>
      <c r="K227" s="24" t="n"/>
      <c r="L227" s="22">
        <f>IF(A227="","",IF(AND(F227="",E227=""),"",TODAY()-IF(F227="",E227,F227)))</f>
        <v/>
      </c>
      <c r="M227" s="22">
        <f>IF(OR(A227="",E227=""),"",TODAY()-E227)</f>
        <v/>
      </c>
      <c r="N227" s="22">
        <f>IF(OR(H227="",I227=""),"",I227-H227)</f>
        <v/>
      </c>
      <c r="O227" s="22">
        <f>IF(OR(F227="",G227=""),"",IF(G227-F227&gt;Settings!$B$8,"CRM activity, no buyer contact",""))</f>
        <v/>
      </c>
      <c r="P227" s="22">
        <f>IF(A227="","",IF(OR(C227="Closed won",C227="Closed lost"),"Closed",IF(L227="","Check dates",IF(L227&gt;=Settings!$B$5,"Likely dead",IF(L227&gt;=Settings!$B$4,"Dormant","Active")))))</f>
        <v/>
      </c>
      <c r="Q227" s="22">
        <f>IF(OR(P227="Dormant",P227="Likely dead"),ROUND(100*IFERROR(VLOOKUP(C227,Settings!$D$4:$E$8,2,FALSE),0.3)*MIN(1,N(D227)/Settings!$B$7)*IF(P227="Dormant",1-0.5*(L227-Settings!$B$4)/MAX(1,Settings!$B$5-Settings!$B$4),0.25),0),"")</f>
        <v/>
      </c>
      <c r="R227" s="22">
        <f>IF(P227="Dormant",IF(AND(N(D227)&gt;=Settings!$B$6,N(Q227)&gt;=40),"Re-engage now",IF(N(D227)&gt;=Settings!$B$6,"Investigate, then decide","Low value: batch or close")),IF(P227="Likely dead","Close out or recycle to nurture",IF(P227="Active","Leave: active",IF(P227="Check dates","Add dates",""))))</f>
        <v/>
      </c>
      <c r="S227" s="23">
        <f>IF(OR(R227="Re-engage now",R227="Investigate, then decide"),Q227+ROW()/1000000,"")</f>
        <v/>
      </c>
    </row>
    <row r="228">
      <c r="A228" s="24" t="n"/>
      <c r="B228" s="24" t="n"/>
      <c r="C228" s="24" t="n"/>
      <c r="D228" s="25" t="n"/>
      <c r="E228" s="26" t="n"/>
      <c r="F228" s="26" t="n"/>
      <c r="G228" s="26" t="n"/>
      <c r="H228" s="26" t="n"/>
      <c r="I228" s="26" t="n"/>
      <c r="J228" s="24" t="n"/>
      <c r="K228" s="24" t="n"/>
      <c r="L228" s="22">
        <f>IF(A228="","",IF(AND(F228="",E228=""),"",TODAY()-IF(F228="",E228,F228)))</f>
        <v/>
      </c>
      <c r="M228" s="22">
        <f>IF(OR(A228="",E228=""),"",TODAY()-E228)</f>
        <v/>
      </c>
      <c r="N228" s="22">
        <f>IF(OR(H228="",I228=""),"",I228-H228)</f>
        <v/>
      </c>
      <c r="O228" s="22">
        <f>IF(OR(F228="",G228=""),"",IF(G228-F228&gt;Settings!$B$8,"CRM activity, no buyer contact",""))</f>
        <v/>
      </c>
      <c r="P228" s="22">
        <f>IF(A228="","",IF(OR(C228="Closed won",C228="Closed lost"),"Closed",IF(L228="","Check dates",IF(L228&gt;=Settings!$B$5,"Likely dead",IF(L228&gt;=Settings!$B$4,"Dormant","Active")))))</f>
        <v/>
      </c>
      <c r="Q228" s="22">
        <f>IF(OR(P228="Dormant",P228="Likely dead"),ROUND(100*IFERROR(VLOOKUP(C228,Settings!$D$4:$E$8,2,FALSE),0.3)*MIN(1,N(D228)/Settings!$B$7)*IF(P228="Dormant",1-0.5*(L228-Settings!$B$4)/MAX(1,Settings!$B$5-Settings!$B$4),0.25),0),"")</f>
        <v/>
      </c>
      <c r="R228" s="22">
        <f>IF(P228="Dormant",IF(AND(N(D228)&gt;=Settings!$B$6,N(Q228)&gt;=40),"Re-engage now",IF(N(D228)&gt;=Settings!$B$6,"Investigate, then decide","Low value: batch or close")),IF(P228="Likely dead","Close out or recycle to nurture",IF(P228="Active","Leave: active",IF(P228="Check dates","Add dates",""))))</f>
        <v/>
      </c>
      <c r="S228" s="23">
        <f>IF(OR(R228="Re-engage now",R228="Investigate, then decide"),Q228+ROW()/1000000,"")</f>
        <v/>
      </c>
    </row>
    <row r="229">
      <c r="A229" s="24" t="n"/>
      <c r="B229" s="24" t="n"/>
      <c r="C229" s="24" t="n"/>
      <c r="D229" s="25" t="n"/>
      <c r="E229" s="26" t="n"/>
      <c r="F229" s="26" t="n"/>
      <c r="G229" s="26" t="n"/>
      <c r="H229" s="26" t="n"/>
      <c r="I229" s="26" t="n"/>
      <c r="J229" s="24" t="n"/>
      <c r="K229" s="24" t="n"/>
      <c r="L229" s="22">
        <f>IF(A229="","",IF(AND(F229="",E229=""),"",TODAY()-IF(F229="",E229,F229)))</f>
        <v/>
      </c>
      <c r="M229" s="22">
        <f>IF(OR(A229="",E229=""),"",TODAY()-E229)</f>
        <v/>
      </c>
      <c r="N229" s="22">
        <f>IF(OR(H229="",I229=""),"",I229-H229)</f>
        <v/>
      </c>
      <c r="O229" s="22">
        <f>IF(OR(F229="",G229=""),"",IF(G229-F229&gt;Settings!$B$8,"CRM activity, no buyer contact",""))</f>
        <v/>
      </c>
      <c r="P229" s="22">
        <f>IF(A229="","",IF(OR(C229="Closed won",C229="Closed lost"),"Closed",IF(L229="","Check dates",IF(L229&gt;=Settings!$B$5,"Likely dead",IF(L229&gt;=Settings!$B$4,"Dormant","Active")))))</f>
        <v/>
      </c>
      <c r="Q229" s="22">
        <f>IF(OR(P229="Dormant",P229="Likely dead"),ROUND(100*IFERROR(VLOOKUP(C229,Settings!$D$4:$E$8,2,FALSE),0.3)*MIN(1,N(D229)/Settings!$B$7)*IF(P229="Dormant",1-0.5*(L229-Settings!$B$4)/MAX(1,Settings!$B$5-Settings!$B$4),0.25),0),"")</f>
        <v/>
      </c>
      <c r="R229" s="22">
        <f>IF(P229="Dormant",IF(AND(N(D229)&gt;=Settings!$B$6,N(Q229)&gt;=40),"Re-engage now",IF(N(D229)&gt;=Settings!$B$6,"Investigate, then decide","Low value: batch or close")),IF(P229="Likely dead","Close out or recycle to nurture",IF(P229="Active","Leave: active",IF(P229="Check dates","Add dates",""))))</f>
        <v/>
      </c>
      <c r="S229" s="23">
        <f>IF(OR(R229="Re-engage now",R229="Investigate, then decide"),Q229+ROW()/1000000,"")</f>
        <v/>
      </c>
    </row>
    <row r="230">
      <c r="A230" s="24" t="n"/>
      <c r="B230" s="24" t="n"/>
      <c r="C230" s="24" t="n"/>
      <c r="D230" s="25" t="n"/>
      <c r="E230" s="26" t="n"/>
      <c r="F230" s="26" t="n"/>
      <c r="G230" s="26" t="n"/>
      <c r="H230" s="26" t="n"/>
      <c r="I230" s="26" t="n"/>
      <c r="J230" s="24" t="n"/>
      <c r="K230" s="24" t="n"/>
      <c r="L230" s="22">
        <f>IF(A230="","",IF(AND(F230="",E230=""),"",TODAY()-IF(F230="",E230,F230)))</f>
        <v/>
      </c>
      <c r="M230" s="22">
        <f>IF(OR(A230="",E230=""),"",TODAY()-E230)</f>
        <v/>
      </c>
      <c r="N230" s="22">
        <f>IF(OR(H230="",I230=""),"",I230-H230)</f>
        <v/>
      </c>
      <c r="O230" s="22">
        <f>IF(OR(F230="",G230=""),"",IF(G230-F230&gt;Settings!$B$8,"CRM activity, no buyer contact",""))</f>
        <v/>
      </c>
      <c r="P230" s="22">
        <f>IF(A230="","",IF(OR(C230="Closed won",C230="Closed lost"),"Closed",IF(L230="","Check dates",IF(L230&gt;=Settings!$B$5,"Likely dead",IF(L230&gt;=Settings!$B$4,"Dormant","Active")))))</f>
        <v/>
      </c>
      <c r="Q230" s="22">
        <f>IF(OR(P230="Dormant",P230="Likely dead"),ROUND(100*IFERROR(VLOOKUP(C230,Settings!$D$4:$E$8,2,FALSE),0.3)*MIN(1,N(D230)/Settings!$B$7)*IF(P230="Dormant",1-0.5*(L230-Settings!$B$4)/MAX(1,Settings!$B$5-Settings!$B$4),0.25),0),"")</f>
        <v/>
      </c>
      <c r="R230" s="22">
        <f>IF(P230="Dormant",IF(AND(N(D230)&gt;=Settings!$B$6,N(Q230)&gt;=40),"Re-engage now",IF(N(D230)&gt;=Settings!$B$6,"Investigate, then decide","Low value: batch or close")),IF(P230="Likely dead","Close out or recycle to nurture",IF(P230="Active","Leave: active",IF(P230="Check dates","Add dates",""))))</f>
        <v/>
      </c>
      <c r="S230" s="23">
        <f>IF(OR(R230="Re-engage now",R230="Investigate, then decide"),Q230+ROW()/1000000,"")</f>
        <v/>
      </c>
    </row>
    <row r="231">
      <c r="A231" s="24" t="n"/>
      <c r="B231" s="24" t="n"/>
      <c r="C231" s="24" t="n"/>
      <c r="D231" s="25" t="n"/>
      <c r="E231" s="26" t="n"/>
      <c r="F231" s="26" t="n"/>
      <c r="G231" s="26" t="n"/>
      <c r="H231" s="26" t="n"/>
      <c r="I231" s="26" t="n"/>
      <c r="J231" s="24" t="n"/>
      <c r="K231" s="24" t="n"/>
      <c r="L231" s="22">
        <f>IF(A231="","",IF(AND(F231="",E231=""),"",TODAY()-IF(F231="",E231,F231)))</f>
        <v/>
      </c>
      <c r="M231" s="22">
        <f>IF(OR(A231="",E231=""),"",TODAY()-E231)</f>
        <v/>
      </c>
      <c r="N231" s="22">
        <f>IF(OR(H231="",I231=""),"",I231-H231)</f>
        <v/>
      </c>
      <c r="O231" s="22">
        <f>IF(OR(F231="",G231=""),"",IF(G231-F231&gt;Settings!$B$8,"CRM activity, no buyer contact",""))</f>
        <v/>
      </c>
      <c r="P231" s="22">
        <f>IF(A231="","",IF(OR(C231="Closed won",C231="Closed lost"),"Closed",IF(L231="","Check dates",IF(L231&gt;=Settings!$B$5,"Likely dead",IF(L231&gt;=Settings!$B$4,"Dormant","Active")))))</f>
        <v/>
      </c>
      <c r="Q231" s="22">
        <f>IF(OR(P231="Dormant",P231="Likely dead"),ROUND(100*IFERROR(VLOOKUP(C231,Settings!$D$4:$E$8,2,FALSE),0.3)*MIN(1,N(D231)/Settings!$B$7)*IF(P231="Dormant",1-0.5*(L231-Settings!$B$4)/MAX(1,Settings!$B$5-Settings!$B$4),0.25),0),"")</f>
        <v/>
      </c>
      <c r="R231" s="22">
        <f>IF(P231="Dormant",IF(AND(N(D231)&gt;=Settings!$B$6,N(Q231)&gt;=40),"Re-engage now",IF(N(D231)&gt;=Settings!$B$6,"Investigate, then decide","Low value: batch or close")),IF(P231="Likely dead","Close out or recycle to nurture",IF(P231="Active","Leave: active",IF(P231="Check dates","Add dates",""))))</f>
        <v/>
      </c>
      <c r="S231" s="23">
        <f>IF(OR(R231="Re-engage now",R231="Investigate, then decide"),Q231+ROW()/1000000,"")</f>
        <v/>
      </c>
    </row>
    <row r="232">
      <c r="A232" s="24" t="n"/>
      <c r="B232" s="24" t="n"/>
      <c r="C232" s="24" t="n"/>
      <c r="D232" s="25" t="n"/>
      <c r="E232" s="26" t="n"/>
      <c r="F232" s="26" t="n"/>
      <c r="G232" s="26" t="n"/>
      <c r="H232" s="26" t="n"/>
      <c r="I232" s="26" t="n"/>
      <c r="J232" s="24" t="n"/>
      <c r="K232" s="24" t="n"/>
      <c r="L232" s="22">
        <f>IF(A232="","",IF(AND(F232="",E232=""),"",TODAY()-IF(F232="",E232,F232)))</f>
        <v/>
      </c>
      <c r="M232" s="22">
        <f>IF(OR(A232="",E232=""),"",TODAY()-E232)</f>
        <v/>
      </c>
      <c r="N232" s="22">
        <f>IF(OR(H232="",I232=""),"",I232-H232)</f>
        <v/>
      </c>
      <c r="O232" s="22">
        <f>IF(OR(F232="",G232=""),"",IF(G232-F232&gt;Settings!$B$8,"CRM activity, no buyer contact",""))</f>
        <v/>
      </c>
      <c r="P232" s="22">
        <f>IF(A232="","",IF(OR(C232="Closed won",C232="Closed lost"),"Closed",IF(L232="","Check dates",IF(L232&gt;=Settings!$B$5,"Likely dead",IF(L232&gt;=Settings!$B$4,"Dormant","Active")))))</f>
        <v/>
      </c>
      <c r="Q232" s="22">
        <f>IF(OR(P232="Dormant",P232="Likely dead"),ROUND(100*IFERROR(VLOOKUP(C232,Settings!$D$4:$E$8,2,FALSE),0.3)*MIN(1,N(D232)/Settings!$B$7)*IF(P232="Dormant",1-0.5*(L232-Settings!$B$4)/MAX(1,Settings!$B$5-Settings!$B$4),0.25),0),"")</f>
        <v/>
      </c>
      <c r="R232" s="22">
        <f>IF(P232="Dormant",IF(AND(N(D232)&gt;=Settings!$B$6,N(Q232)&gt;=40),"Re-engage now",IF(N(D232)&gt;=Settings!$B$6,"Investigate, then decide","Low value: batch or close")),IF(P232="Likely dead","Close out or recycle to nurture",IF(P232="Active","Leave: active",IF(P232="Check dates","Add dates",""))))</f>
        <v/>
      </c>
      <c r="S232" s="23">
        <f>IF(OR(R232="Re-engage now",R232="Investigate, then decide"),Q232+ROW()/1000000,"")</f>
        <v/>
      </c>
    </row>
    <row r="233">
      <c r="A233" s="24" t="n"/>
      <c r="B233" s="24" t="n"/>
      <c r="C233" s="24" t="n"/>
      <c r="D233" s="25" t="n"/>
      <c r="E233" s="26" t="n"/>
      <c r="F233" s="26" t="n"/>
      <c r="G233" s="26" t="n"/>
      <c r="H233" s="26" t="n"/>
      <c r="I233" s="26" t="n"/>
      <c r="J233" s="24" t="n"/>
      <c r="K233" s="24" t="n"/>
      <c r="L233" s="22">
        <f>IF(A233="","",IF(AND(F233="",E233=""),"",TODAY()-IF(F233="",E233,F233)))</f>
        <v/>
      </c>
      <c r="M233" s="22">
        <f>IF(OR(A233="",E233=""),"",TODAY()-E233)</f>
        <v/>
      </c>
      <c r="N233" s="22">
        <f>IF(OR(H233="",I233=""),"",I233-H233)</f>
        <v/>
      </c>
      <c r="O233" s="22">
        <f>IF(OR(F233="",G233=""),"",IF(G233-F233&gt;Settings!$B$8,"CRM activity, no buyer contact",""))</f>
        <v/>
      </c>
      <c r="P233" s="22">
        <f>IF(A233="","",IF(OR(C233="Closed won",C233="Closed lost"),"Closed",IF(L233="","Check dates",IF(L233&gt;=Settings!$B$5,"Likely dead",IF(L233&gt;=Settings!$B$4,"Dormant","Active")))))</f>
        <v/>
      </c>
      <c r="Q233" s="22">
        <f>IF(OR(P233="Dormant",P233="Likely dead"),ROUND(100*IFERROR(VLOOKUP(C233,Settings!$D$4:$E$8,2,FALSE),0.3)*MIN(1,N(D233)/Settings!$B$7)*IF(P233="Dormant",1-0.5*(L233-Settings!$B$4)/MAX(1,Settings!$B$5-Settings!$B$4),0.25),0),"")</f>
        <v/>
      </c>
      <c r="R233" s="22">
        <f>IF(P233="Dormant",IF(AND(N(D233)&gt;=Settings!$B$6,N(Q233)&gt;=40),"Re-engage now",IF(N(D233)&gt;=Settings!$B$6,"Investigate, then decide","Low value: batch or close")),IF(P233="Likely dead","Close out or recycle to nurture",IF(P233="Active","Leave: active",IF(P233="Check dates","Add dates",""))))</f>
        <v/>
      </c>
      <c r="S233" s="23">
        <f>IF(OR(R233="Re-engage now",R233="Investigate, then decide"),Q233+ROW()/1000000,"")</f>
        <v/>
      </c>
    </row>
    <row r="234">
      <c r="A234" s="24" t="n"/>
      <c r="B234" s="24" t="n"/>
      <c r="C234" s="24" t="n"/>
      <c r="D234" s="25" t="n"/>
      <c r="E234" s="26" t="n"/>
      <c r="F234" s="26" t="n"/>
      <c r="G234" s="26" t="n"/>
      <c r="H234" s="26" t="n"/>
      <c r="I234" s="26" t="n"/>
      <c r="J234" s="24" t="n"/>
      <c r="K234" s="24" t="n"/>
      <c r="L234" s="22">
        <f>IF(A234="","",IF(AND(F234="",E234=""),"",TODAY()-IF(F234="",E234,F234)))</f>
        <v/>
      </c>
      <c r="M234" s="22">
        <f>IF(OR(A234="",E234=""),"",TODAY()-E234)</f>
        <v/>
      </c>
      <c r="N234" s="22">
        <f>IF(OR(H234="",I234=""),"",I234-H234)</f>
        <v/>
      </c>
      <c r="O234" s="22">
        <f>IF(OR(F234="",G234=""),"",IF(G234-F234&gt;Settings!$B$8,"CRM activity, no buyer contact",""))</f>
        <v/>
      </c>
      <c r="P234" s="22">
        <f>IF(A234="","",IF(OR(C234="Closed won",C234="Closed lost"),"Closed",IF(L234="","Check dates",IF(L234&gt;=Settings!$B$5,"Likely dead",IF(L234&gt;=Settings!$B$4,"Dormant","Active")))))</f>
        <v/>
      </c>
      <c r="Q234" s="22">
        <f>IF(OR(P234="Dormant",P234="Likely dead"),ROUND(100*IFERROR(VLOOKUP(C234,Settings!$D$4:$E$8,2,FALSE),0.3)*MIN(1,N(D234)/Settings!$B$7)*IF(P234="Dormant",1-0.5*(L234-Settings!$B$4)/MAX(1,Settings!$B$5-Settings!$B$4),0.25),0),"")</f>
        <v/>
      </c>
      <c r="R234" s="22">
        <f>IF(P234="Dormant",IF(AND(N(D234)&gt;=Settings!$B$6,N(Q234)&gt;=40),"Re-engage now",IF(N(D234)&gt;=Settings!$B$6,"Investigate, then decide","Low value: batch or close")),IF(P234="Likely dead","Close out or recycle to nurture",IF(P234="Active","Leave: active",IF(P234="Check dates","Add dates",""))))</f>
        <v/>
      </c>
      <c r="S234" s="23">
        <f>IF(OR(R234="Re-engage now",R234="Investigate, then decide"),Q234+ROW()/1000000,"")</f>
        <v/>
      </c>
    </row>
    <row r="235">
      <c r="A235" s="24" t="n"/>
      <c r="B235" s="24" t="n"/>
      <c r="C235" s="24" t="n"/>
      <c r="D235" s="25" t="n"/>
      <c r="E235" s="26" t="n"/>
      <c r="F235" s="26" t="n"/>
      <c r="G235" s="26" t="n"/>
      <c r="H235" s="26" t="n"/>
      <c r="I235" s="26" t="n"/>
      <c r="J235" s="24" t="n"/>
      <c r="K235" s="24" t="n"/>
      <c r="L235" s="22">
        <f>IF(A235="","",IF(AND(F235="",E235=""),"",TODAY()-IF(F235="",E235,F235)))</f>
        <v/>
      </c>
      <c r="M235" s="22">
        <f>IF(OR(A235="",E235=""),"",TODAY()-E235)</f>
        <v/>
      </c>
      <c r="N235" s="22">
        <f>IF(OR(H235="",I235=""),"",I235-H235)</f>
        <v/>
      </c>
      <c r="O235" s="22">
        <f>IF(OR(F235="",G235=""),"",IF(G235-F235&gt;Settings!$B$8,"CRM activity, no buyer contact",""))</f>
        <v/>
      </c>
      <c r="P235" s="22">
        <f>IF(A235="","",IF(OR(C235="Closed won",C235="Closed lost"),"Closed",IF(L235="","Check dates",IF(L235&gt;=Settings!$B$5,"Likely dead",IF(L235&gt;=Settings!$B$4,"Dormant","Active")))))</f>
        <v/>
      </c>
      <c r="Q235" s="22">
        <f>IF(OR(P235="Dormant",P235="Likely dead"),ROUND(100*IFERROR(VLOOKUP(C235,Settings!$D$4:$E$8,2,FALSE),0.3)*MIN(1,N(D235)/Settings!$B$7)*IF(P235="Dormant",1-0.5*(L235-Settings!$B$4)/MAX(1,Settings!$B$5-Settings!$B$4),0.25),0),"")</f>
        <v/>
      </c>
      <c r="R235" s="22">
        <f>IF(P235="Dormant",IF(AND(N(D235)&gt;=Settings!$B$6,N(Q235)&gt;=40),"Re-engage now",IF(N(D235)&gt;=Settings!$B$6,"Investigate, then decide","Low value: batch or close")),IF(P235="Likely dead","Close out or recycle to nurture",IF(P235="Active","Leave: active",IF(P235="Check dates","Add dates",""))))</f>
        <v/>
      </c>
      <c r="S235" s="23">
        <f>IF(OR(R235="Re-engage now",R235="Investigate, then decide"),Q235+ROW()/1000000,"")</f>
        <v/>
      </c>
    </row>
    <row r="236">
      <c r="A236" s="24" t="n"/>
      <c r="B236" s="24" t="n"/>
      <c r="C236" s="24" t="n"/>
      <c r="D236" s="25" t="n"/>
      <c r="E236" s="26" t="n"/>
      <c r="F236" s="26" t="n"/>
      <c r="G236" s="26" t="n"/>
      <c r="H236" s="26" t="n"/>
      <c r="I236" s="26" t="n"/>
      <c r="J236" s="24" t="n"/>
      <c r="K236" s="24" t="n"/>
      <c r="L236" s="22">
        <f>IF(A236="","",IF(AND(F236="",E236=""),"",TODAY()-IF(F236="",E236,F236)))</f>
        <v/>
      </c>
      <c r="M236" s="22">
        <f>IF(OR(A236="",E236=""),"",TODAY()-E236)</f>
        <v/>
      </c>
      <c r="N236" s="22">
        <f>IF(OR(H236="",I236=""),"",I236-H236)</f>
        <v/>
      </c>
      <c r="O236" s="22">
        <f>IF(OR(F236="",G236=""),"",IF(G236-F236&gt;Settings!$B$8,"CRM activity, no buyer contact",""))</f>
        <v/>
      </c>
      <c r="P236" s="22">
        <f>IF(A236="","",IF(OR(C236="Closed won",C236="Closed lost"),"Closed",IF(L236="","Check dates",IF(L236&gt;=Settings!$B$5,"Likely dead",IF(L236&gt;=Settings!$B$4,"Dormant","Active")))))</f>
        <v/>
      </c>
      <c r="Q236" s="22">
        <f>IF(OR(P236="Dormant",P236="Likely dead"),ROUND(100*IFERROR(VLOOKUP(C236,Settings!$D$4:$E$8,2,FALSE),0.3)*MIN(1,N(D236)/Settings!$B$7)*IF(P236="Dormant",1-0.5*(L236-Settings!$B$4)/MAX(1,Settings!$B$5-Settings!$B$4),0.25),0),"")</f>
        <v/>
      </c>
      <c r="R236" s="22">
        <f>IF(P236="Dormant",IF(AND(N(D236)&gt;=Settings!$B$6,N(Q236)&gt;=40),"Re-engage now",IF(N(D236)&gt;=Settings!$B$6,"Investigate, then decide","Low value: batch or close")),IF(P236="Likely dead","Close out or recycle to nurture",IF(P236="Active","Leave: active",IF(P236="Check dates","Add dates",""))))</f>
        <v/>
      </c>
      <c r="S236" s="23">
        <f>IF(OR(R236="Re-engage now",R236="Investigate, then decide"),Q236+ROW()/1000000,"")</f>
        <v/>
      </c>
    </row>
    <row r="237">
      <c r="A237" s="24" t="n"/>
      <c r="B237" s="24" t="n"/>
      <c r="C237" s="24" t="n"/>
      <c r="D237" s="25" t="n"/>
      <c r="E237" s="26" t="n"/>
      <c r="F237" s="26" t="n"/>
      <c r="G237" s="26" t="n"/>
      <c r="H237" s="26" t="n"/>
      <c r="I237" s="26" t="n"/>
      <c r="J237" s="24" t="n"/>
      <c r="K237" s="24" t="n"/>
      <c r="L237" s="22">
        <f>IF(A237="","",IF(AND(F237="",E237=""),"",TODAY()-IF(F237="",E237,F237)))</f>
        <v/>
      </c>
      <c r="M237" s="22">
        <f>IF(OR(A237="",E237=""),"",TODAY()-E237)</f>
        <v/>
      </c>
      <c r="N237" s="22">
        <f>IF(OR(H237="",I237=""),"",I237-H237)</f>
        <v/>
      </c>
      <c r="O237" s="22">
        <f>IF(OR(F237="",G237=""),"",IF(G237-F237&gt;Settings!$B$8,"CRM activity, no buyer contact",""))</f>
        <v/>
      </c>
      <c r="P237" s="22">
        <f>IF(A237="","",IF(OR(C237="Closed won",C237="Closed lost"),"Closed",IF(L237="","Check dates",IF(L237&gt;=Settings!$B$5,"Likely dead",IF(L237&gt;=Settings!$B$4,"Dormant","Active")))))</f>
        <v/>
      </c>
      <c r="Q237" s="22">
        <f>IF(OR(P237="Dormant",P237="Likely dead"),ROUND(100*IFERROR(VLOOKUP(C237,Settings!$D$4:$E$8,2,FALSE),0.3)*MIN(1,N(D237)/Settings!$B$7)*IF(P237="Dormant",1-0.5*(L237-Settings!$B$4)/MAX(1,Settings!$B$5-Settings!$B$4),0.25),0),"")</f>
        <v/>
      </c>
      <c r="R237" s="22">
        <f>IF(P237="Dormant",IF(AND(N(D237)&gt;=Settings!$B$6,N(Q237)&gt;=40),"Re-engage now",IF(N(D237)&gt;=Settings!$B$6,"Investigate, then decide","Low value: batch or close")),IF(P237="Likely dead","Close out or recycle to nurture",IF(P237="Active","Leave: active",IF(P237="Check dates","Add dates",""))))</f>
        <v/>
      </c>
      <c r="S237" s="23">
        <f>IF(OR(R237="Re-engage now",R237="Investigate, then decide"),Q237+ROW()/1000000,"")</f>
        <v/>
      </c>
    </row>
    <row r="238">
      <c r="A238" s="24" t="n"/>
      <c r="B238" s="24" t="n"/>
      <c r="C238" s="24" t="n"/>
      <c r="D238" s="25" t="n"/>
      <c r="E238" s="26" t="n"/>
      <c r="F238" s="26" t="n"/>
      <c r="G238" s="26" t="n"/>
      <c r="H238" s="26" t="n"/>
      <c r="I238" s="26" t="n"/>
      <c r="J238" s="24" t="n"/>
      <c r="K238" s="24" t="n"/>
      <c r="L238" s="22">
        <f>IF(A238="","",IF(AND(F238="",E238=""),"",TODAY()-IF(F238="",E238,F238)))</f>
        <v/>
      </c>
      <c r="M238" s="22">
        <f>IF(OR(A238="",E238=""),"",TODAY()-E238)</f>
        <v/>
      </c>
      <c r="N238" s="22">
        <f>IF(OR(H238="",I238=""),"",I238-H238)</f>
        <v/>
      </c>
      <c r="O238" s="22">
        <f>IF(OR(F238="",G238=""),"",IF(G238-F238&gt;Settings!$B$8,"CRM activity, no buyer contact",""))</f>
        <v/>
      </c>
      <c r="P238" s="22">
        <f>IF(A238="","",IF(OR(C238="Closed won",C238="Closed lost"),"Closed",IF(L238="","Check dates",IF(L238&gt;=Settings!$B$5,"Likely dead",IF(L238&gt;=Settings!$B$4,"Dormant","Active")))))</f>
        <v/>
      </c>
      <c r="Q238" s="22">
        <f>IF(OR(P238="Dormant",P238="Likely dead"),ROUND(100*IFERROR(VLOOKUP(C238,Settings!$D$4:$E$8,2,FALSE),0.3)*MIN(1,N(D238)/Settings!$B$7)*IF(P238="Dormant",1-0.5*(L238-Settings!$B$4)/MAX(1,Settings!$B$5-Settings!$B$4),0.25),0),"")</f>
        <v/>
      </c>
      <c r="R238" s="22">
        <f>IF(P238="Dormant",IF(AND(N(D238)&gt;=Settings!$B$6,N(Q238)&gt;=40),"Re-engage now",IF(N(D238)&gt;=Settings!$B$6,"Investigate, then decide","Low value: batch or close")),IF(P238="Likely dead","Close out or recycle to nurture",IF(P238="Active","Leave: active",IF(P238="Check dates","Add dates",""))))</f>
        <v/>
      </c>
      <c r="S238" s="23">
        <f>IF(OR(R238="Re-engage now",R238="Investigate, then decide"),Q238+ROW()/1000000,"")</f>
        <v/>
      </c>
    </row>
    <row r="239">
      <c r="A239" s="24" t="n"/>
      <c r="B239" s="24" t="n"/>
      <c r="C239" s="24" t="n"/>
      <c r="D239" s="25" t="n"/>
      <c r="E239" s="26" t="n"/>
      <c r="F239" s="26" t="n"/>
      <c r="G239" s="26" t="n"/>
      <c r="H239" s="26" t="n"/>
      <c r="I239" s="26" t="n"/>
      <c r="J239" s="24" t="n"/>
      <c r="K239" s="24" t="n"/>
      <c r="L239" s="22">
        <f>IF(A239="","",IF(AND(F239="",E239=""),"",TODAY()-IF(F239="",E239,F239)))</f>
        <v/>
      </c>
      <c r="M239" s="22">
        <f>IF(OR(A239="",E239=""),"",TODAY()-E239)</f>
        <v/>
      </c>
      <c r="N239" s="22">
        <f>IF(OR(H239="",I239=""),"",I239-H239)</f>
        <v/>
      </c>
      <c r="O239" s="22">
        <f>IF(OR(F239="",G239=""),"",IF(G239-F239&gt;Settings!$B$8,"CRM activity, no buyer contact",""))</f>
        <v/>
      </c>
      <c r="P239" s="22">
        <f>IF(A239="","",IF(OR(C239="Closed won",C239="Closed lost"),"Closed",IF(L239="","Check dates",IF(L239&gt;=Settings!$B$5,"Likely dead",IF(L239&gt;=Settings!$B$4,"Dormant","Active")))))</f>
        <v/>
      </c>
      <c r="Q239" s="22">
        <f>IF(OR(P239="Dormant",P239="Likely dead"),ROUND(100*IFERROR(VLOOKUP(C239,Settings!$D$4:$E$8,2,FALSE),0.3)*MIN(1,N(D239)/Settings!$B$7)*IF(P239="Dormant",1-0.5*(L239-Settings!$B$4)/MAX(1,Settings!$B$5-Settings!$B$4),0.25),0),"")</f>
        <v/>
      </c>
      <c r="R239" s="22">
        <f>IF(P239="Dormant",IF(AND(N(D239)&gt;=Settings!$B$6,N(Q239)&gt;=40),"Re-engage now",IF(N(D239)&gt;=Settings!$B$6,"Investigate, then decide","Low value: batch or close")),IF(P239="Likely dead","Close out or recycle to nurture",IF(P239="Active","Leave: active",IF(P239="Check dates","Add dates",""))))</f>
        <v/>
      </c>
      <c r="S239" s="23">
        <f>IF(OR(R239="Re-engage now",R239="Investigate, then decide"),Q239+ROW()/1000000,"")</f>
        <v/>
      </c>
    </row>
    <row r="240">
      <c r="A240" s="24" t="n"/>
      <c r="B240" s="24" t="n"/>
      <c r="C240" s="24" t="n"/>
      <c r="D240" s="25" t="n"/>
      <c r="E240" s="26" t="n"/>
      <c r="F240" s="26" t="n"/>
      <c r="G240" s="26" t="n"/>
      <c r="H240" s="26" t="n"/>
      <c r="I240" s="26" t="n"/>
      <c r="J240" s="24" t="n"/>
      <c r="K240" s="24" t="n"/>
      <c r="L240" s="22">
        <f>IF(A240="","",IF(AND(F240="",E240=""),"",TODAY()-IF(F240="",E240,F240)))</f>
        <v/>
      </c>
      <c r="M240" s="22">
        <f>IF(OR(A240="",E240=""),"",TODAY()-E240)</f>
        <v/>
      </c>
      <c r="N240" s="22">
        <f>IF(OR(H240="",I240=""),"",I240-H240)</f>
        <v/>
      </c>
      <c r="O240" s="22">
        <f>IF(OR(F240="",G240=""),"",IF(G240-F240&gt;Settings!$B$8,"CRM activity, no buyer contact",""))</f>
        <v/>
      </c>
      <c r="P240" s="22">
        <f>IF(A240="","",IF(OR(C240="Closed won",C240="Closed lost"),"Closed",IF(L240="","Check dates",IF(L240&gt;=Settings!$B$5,"Likely dead",IF(L240&gt;=Settings!$B$4,"Dormant","Active")))))</f>
        <v/>
      </c>
      <c r="Q240" s="22">
        <f>IF(OR(P240="Dormant",P240="Likely dead"),ROUND(100*IFERROR(VLOOKUP(C240,Settings!$D$4:$E$8,2,FALSE),0.3)*MIN(1,N(D240)/Settings!$B$7)*IF(P240="Dormant",1-0.5*(L240-Settings!$B$4)/MAX(1,Settings!$B$5-Settings!$B$4),0.25),0),"")</f>
        <v/>
      </c>
      <c r="R240" s="22">
        <f>IF(P240="Dormant",IF(AND(N(D240)&gt;=Settings!$B$6,N(Q240)&gt;=40),"Re-engage now",IF(N(D240)&gt;=Settings!$B$6,"Investigate, then decide","Low value: batch or close")),IF(P240="Likely dead","Close out or recycle to nurture",IF(P240="Active","Leave: active",IF(P240="Check dates","Add dates",""))))</f>
        <v/>
      </c>
      <c r="S240" s="23">
        <f>IF(OR(R240="Re-engage now",R240="Investigate, then decide"),Q240+ROW()/1000000,"")</f>
        <v/>
      </c>
    </row>
    <row r="241">
      <c r="A241" s="24" t="n"/>
      <c r="B241" s="24" t="n"/>
      <c r="C241" s="24" t="n"/>
      <c r="D241" s="25" t="n"/>
      <c r="E241" s="26" t="n"/>
      <c r="F241" s="26" t="n"/>
      <c r="G241" s="26" t="n"/>
      <c r="H241" s="26" t="n"/>
      <c r="I241" s="26" t="n"/>
      <c r="J241" s="24" t="n"/>
      <c r="K241" s="24" t="n"/>
      <c r="L241" s="22">
        <f>IF(A241="","",IF(AND(F241="",E241=""),"",TODAY()-IF(F241="",E241,F241)))</f>
        <v/>
      </c>
      <c r="M241" s="22">
        <f>IF(OR(A241="",E241=""),"",TODAY()-E241)</f>
        <v/>
      </c>
      <c r="N241" s="22">
        <f>IF(OR(H241="",I241=""),"",I241-H241)</f>
        <v/>
      </c>
      <c r="O241" s="22">
        <f>IF(OR(F241="",G241=""),"",IF(G241-F241&gt;Settings!$B$8,"CRM activity, no buyer contact",""))</f>
        <v/>
      </c>
      <c r="P241" s="22">
        <f>IF(A241="","",IF(OR(C241="Closed won",C241="Closed lost"),"Closed",IF(L241="","Check dates",IF(L241&gt;=Settings!$B$5,"Likely dead",IF(L241&gt;=Settings!$B$4,"Dormant","Active")))))</f>
        <v/>
      </c>
      <c r="Q241" s="22">
        <f>IF(OR(P241="Dormant",P241="Likely dead"),ROUND(100*IFERROR(VLOOKUP(C241,Settings!$D$4:$E$8,2,FALSE),0.3)*MIN(1,N(D241)/Settings!$B$7)*IF(P241="Dormant",1-0.5*(L241-Settings!$B$4)/MAX(1,Settings!$B$5-Settings!$B$4),0.25),0),"")</f>
        <v/>
      </c>
      <c r="R241" s="22">
        <f>IF(P241="Dormant",IF(AND(N(D241)&gt;=Settings!$B$6,N(Q241)&gt;=40),"Re-engage now",IF(N(D241)&gt;=Settings!$B$6,"Investigate, then decide","Low value: batch or close")),IF(P241="Likely dead","Close out or recycle to nurture",IF(P241="Active","Leave: active",IF(P241="Check dates","Add dates",""))))</f>
        <v/>
      </c>
      <c r="S241" s="23">
        <f>IF(OR(R241="Re-engage now",R241="Investigate, then decide"),Q241+ROW()/1000000,"")</f>
        <v/>
      </c>
    </row>
    <row r="242">
      <c r="A242" s="24" t="n"/>
      <c r="B242" s="24" t="n"/>
      <c r="C242" s="24" t="n"/>
      <c r="D242" s="25" t="n"/>
      <c r="E242" s="26" t="n"/>
      <c r="F242" s="26" t="n"/>
      <c r="G242" s="26" t="n"/>
      <c r="H242" s="26" t="n"/>
      <c r="I242" s="26" t="n"/>
      <c r="J242" s="24" t="n"/>
      <c r="K242" s="24" t="n"/>
      <c r="L242" s="22">
        <f>IF(A242="","",IF(AND(F242="",E242=""),"",TODAY()-IF(F242="",E242,F242)))</f>
        <v/>
      </c>
      <c r="M242" s="22">
        <f>IF(OR(A242="",E242=""),"",TODAY()-E242)</f>
        <v/>
      </c>
      <c r="N242" s="22">
        <f>IF(OR(H242="",I242=""),"",I242-H242)</f>
        <v/>
      </c>
      <c r="O242" s="22">
        <f>IF(OR(F242="",G242=""),"",IF(G242-F242&gt;Settings!$B$8,"CRM activity, no buyer contact",""))</f>
        <v/>
      </c>
      <c r="P242" s="22">
        <f>IF(A242="","",IF(OR(C242="Closed won",C242="Closed lost"),"Closed",IF(L242="","Check dates",IF(L242&gt;=Settings!$B$5,"Likely dead",IF(L242&gt;=Settings!$B$4,"Dormant","Active")))))</f>
        <v/>
      </c>
      <c r="Q242" s="22">
        <f>IF(OR(P242="Dormant",P242="Likely dead"),ROUND(100*IFERROR(VLOOKUP(C242,Settings!$D$4:$E$8,2,FALSE),0.3)*MIN(1,N(D242)/Settings!$B$7)*IF(P242="Dormant",1-0.5*(L242-Settings!$B$4)/MAX(1,Settings!$B$5-Settings!$B$4),0.25),0),"")</f>
        <v/>
      </c>
      <c r="R242" s="22">
        <f>IF(P242="Dormant",IF(AND(N(D242)&gt;=Settings!$B$6,N(Q242)&gt;=40),"Re-engage now",IF(N(D242)&gt;=Settings!$B$6,"Investigate, then decide","Low value: batch or close")),IF(P242="Likely dead","Close out or recycle to nurture",IF(P242="Active","Leave: active",IF(P242="Check dates","Add dates",""))))</f>
        <v/>
      </c>
      <c r="S242" s="23">
        <f>IF(OR(R242="Re-engage now",R242="Investigate, then decide"),Q242+ROW()/1000000,"")</f>
        <v/>
      </c>
    </row>
    <row r="243">
      <c r="A243" s="24" t="n"/>
      <c r="B243" s="24" t="n"/>
      <c r="C243" s="24" t="n"/>
      <c r="D243" s="25" t="n"/>
      <c r="E243" s="26" t="n"/>
      <c r="F243" s="26" t="n"/>
      <c r="G243" s="26" t="n"/>
      <c r="H243" s="26" t="n"/>
      <c r="I243" s="26" t="n"/>
      <c r="J243" s="24" t="n"/>
      <c r="K243" s="24" t="n"/>
      <c r="L243" s="22">
        <f>IF(A243="","",IF(AND(F243="",E243=""),"",TODAY()-IF(F243="",E243,F243)))</f>
        <v/>
      </c>
      <c r="M243" s="22">
        <f>IF(OR(A243="",E243=""),"",TODAY()-E243)</f>
        <v/>
      </c>
      <c r="N243" s="22">
        <f>IF(OR(H243="",I243=""),"",I243-H243)</f>
        <v/>
      </c>
      <c r="O243" s="22">
        <f>IF(OR(F243="",G243=""),"",IF(G243-F243&gt;Settings!$B$8,"CRM activity, no buyer contact",""))</f>
        <v/>
      </c>
      <c r="P243" s="22">
        <f>IF(A243="","",IF(OR(C243="Closed won",C243="Closed lost"),"Closed",IF(L243="","Check dates",IF(L243&gt;=Settings!$B$5,"Likely dead",IF(L243&gt;=Settings!$B$4,"Dormant","Active")))))</f>
        <v/>
      </c>
      <c r="Q243" s="22">
        <f>IF(OR(P243="Dormant",P243="Likely dead"),ROUND(100*IFERROR(VLOOKUP(C243,Settings!$D$4:$E$8,2,FALSE),0.3)*MIN(1,N(D243)/Settings!$B$7)*IF(P243="Dormant",1-0.5*(L243-Settings!$B$4)/MAX(1,Settings!$B$5-Settings!$B$4),0.25),0),"")</f>
        <v/>
      </c>
      <c r="R243" s="22">
        <f>IF(P243="Dormant",IF(AND(N(D243)&gt;=Settings!$B$6,N(Q243)&gt;=40),"Re-engage now",IF(N(D243)&gt;=Settings!$B$6,"Investigate, then decide","Low value: batch or close")),IF(P243="Likely dead","Close out or recycle to nurture",IF(P243="Active","Leave: active",IF(P243="Check dates","Add dates",""))))</f>
        <v/>
      </c>
      <c r="S243" s="23">
        <f>IF(OR(R243="Re-engage now",R243="Investigate, then decide"),Q243+ROW()/1000000,"")</f>
        <v/>
      </c>
    </row>
    <row r="244">
      <c r="A244" s="24" t="n"/>
      <c r="B244" s="24" t="n"/>
      <c r="C244" s="24" t="n"/>
      <c r="D244" s="25" t="n"/>
      <c r="E244" s="26" t="n"/>
      <c r="F244" s="26" t="n"/>
      <c r="G244" s="26" t="n"/>
      <c r="H244" s="26" t="n"/>
      <c r="I244" s="26" t="n"/>
      <c r="J244" s="24" t="n"/>
      <c r="K244" s="24" t="n"/>
      <c r="L244" s="22">
        <f>IF(A244="","",IF(AND(F244="",E244=""),"",TODAY()-IF(F244="",E244,F244)))</f>
        <v/>
      </c>
      <c r="M244" s="22">
        <f>IF(OR(A244="",E244=""),"",TODAY()-E244)</f>
        <v/>
      </c>
      <c r="N244" s="22">
        <f>IF(OR(H244="",I244=""),"",I244-H244)</f>
        <v/>
      </c>
      <c r="O244" s="22">
        <f>IF(OR(F244="",G244=""),"",IF(G244-F244&gt;Settings!$B$8,"CRM activity, no buyer contact",""))</f>
        <v/>
      </c>
      <c r="P244" s="22">
        <f>IF(A244="","",IF(OR(C244="Closed won",C244="Closed lost"),"Closed",IF(L244="","Check dates",IF(L244&gt;=Settings!$B$5,"Likely dead",IF(L244&gt;=Settings!$B$4,"Dormant","Active")))))</f>
        <v/>
      </c>
      <c r="Q244" s="22">
        <f>IF(OR(P244="Dormant",P244="Likely dead"),ROUND(100*IFERROR(VLOOKUP(C244,Settings!$D$4:$E$8,2,FALSE),0.3)*MIN(1,N(D244)/Settings!$B$7)*IF(P244="Dormant",1-0.5*(L244-Settings!$B$4)/MAX(1,Settings!$B$5-Settings!$B$4),0.25),0),"")</f>
        <v/>
      </c>
      <c r="R244" s="22">
        <f>IF(P244="Dormant",IF(AND(N(D244)&gt;=Settings!$B$6,N(Q244)&gt;=40),"Re-engage now",IF(N(D244)&gt;=Settings!$B$6,"Investigate, then decide","Low value: batch or close")),IF(P244="Likely dead","Close out or recycle to nurture",IF(P244="Active","Leave: active",IF(P244="Check dates","Add dates",""))))</f>
        <v/>
      </c>
      <c r="S244" s="23">
        <f>IF(OR(R244="Re-engage now",R244="Investigate, then decide"),Q244+ROW()/1000000,"")</f>
        <v/>
      </c>
    </row>
    <row r="245">
      <c r="A245" s="24" t="n"/>
      <c r="B245" s="24" t="n"/>
      <c r="C245" s="24" t="n"/>
      <c r="D245" s="25" t="n"/>
      <c r="E245" s="26" t="n"/>
      <c r="F245" s="26" t="n"/>
      <c r="G245" s="26" t="n"/>
      <c r="H245" s="26" t="n"/>
      <c r="I245" s="26" t="n"/>
      <c r="J245" s="24" t="n"/>
      <c r="K245" s="24" t="n"/>
      <c r="L245" s="22">
        <f>IF(A245="","",IF(AND(F245="",E245=""),"",TODAY()-IF(F245="",E245,F245)))</f>
        <v/>
      </c>
      <c r="M245" s="22">
        <f>IF(OR(A245="",E245=""),"",TODAY()-E245)</f>
        <v/>
      </c>
      <c r="N245" s="22">
        <f>IF(OR(H245="",I245=""),"",I245-H245)</f>
        <v/>
      </c>
      <c r="O245" s="22">
        <f>IF(OR(F245="",G245=""),"",IF(G245-F245&gt;Settings!$B$8,"CRM activity, no buyer contact",""))</f>
        <v/>
      </c>
      <c r="P245" s="22">
        <f>IF(A245="","",IF(OR(C245="Closed won",C245="Closed lost"),"Closed",IF(L245="","Check dates",IF(L245&gt;=Settings!$B$5,"Likely dead",IF(L245&gt;=Settings!$B$4,"Dormant","Active")))))</f>
        <v/>
      </c>
      <c r="Q245" s="22">
        <f>IF(OR(P245="Dormant",P245="Likely dead"),ROUND(100*IFERROR(VLOOKUP(C245,Settings!$D$4:$E$8,2,FALSE),0.3)*MIN(1,N(D245)/Settings!$B$7)*IF(P245="Dormant",1-0.5*(L245-Settings!$B$4)/MAX(1,Settings!$B$5-Settings!$B$4),0.25),0),"")</f>
        <v/>
      </c>
      <c r="R245" s="22">
        <f>IF(P245="Dormant",IF(AND(N(D245)&gt;=Settings!$B$6,N(Q245)&gt;=40),"Re-engage now",IF(N(D245)&gt;=Settings!$B$6,"Investigate, then decide","Low value: batch or close")),IF(P245="Likely dead","Close out or recycle to nurture",IF(P245="Active","Leave: active",IF(P245="Check dates","Add dates",""))))</f>
        <v/>
      </c>
      <c r="S245" s="23">
        <f>IF(OR(R245="Re-engage now",R245="Investigate, then decide"),Q245+ROW()/1000000,"")</f>
        <v/>
      </c>
    </row>
    <row r="246">
      <c r="A246" s="24" t="n"/>
      <c r="B246" s="24" t="n"/>
      <c r="C246" s="24" t="n"/>
      <c r="D246" s="25" t="n"/>
      <c r="E246" s="26" t="n"/>
      <c r="F246" s="26" t="n"/>
      <c r="G246" s="26" t="n"/>
      <c r="H246" s="26" t="n"/>
      <c r="I246" s="26" t="n"/>
      <c r="J246" s="24" t="n"/>
      <c r="K246" s="24" t="n"/>
      <c r="L246" s="22">
        <f>IF(A246="","",IF(AND(F246="",E246=""),"",TODAY()-IF(F246="",E246,F246)))</f>
        <v/>
      </c>
      <c r="M246" s="22">
        <f>IF(OR(A246="",E246=""),"",TODAY()-E246)</f>
        <v/>
      </c>
      <c r="N246" s="22">
        <f>IF(OR(H246="",I246=""),"",I246-H246)</f>
        <v/>
      </c>
      <c r="O246" s="22">
        <f>IF(OR(F246="",G246=""),"",IF(G246-F246&gt;Settings!$B$8,"CRM activity, no buyer contact",""))</f>
        <v/>
      </c>
      <c r="P246" s="22">
        <f>IF(A246="","",IF(OR(C246="Closed won",C246="Closed lost"),"Closed",IF(L246="","Check dates",IF(L246&gt;=Settings!$B$5,"Likely dead",IF(L246&gt;=Settings!$B$4,"Dormant","Active")))))</f>
        <v/>
      </c>
      <c r="Q246" s="22">
        <f>IF(OR(P246="Dormant",P246="Likely dead"),ROUND(100*IFERROR(VLOOKUP(C246,Settings!$D$4:$E$8,2,FALSE),0.3)*MIN(1,N(D246)/Settings!$B$7)*IF(P246="Dormant",1-0.5*(L246-Settings!$B$4)/MAX(1,Settings!$B$5-Settings!$B$4),0.25),0),"")</f>
        <v/>
      </c>
      <c r="R246" s="22">
        <f>IF(P246="Dormant",IF(AND(N(D246)&gt;=Settings!$B$6,N(Q246)&gt;=40),"Re-engage now",IF(N(D246)&gt;=Settings!$B$6,"Investigate, then decide","Low value: batch or close")),IF(P246="Likely dead","Close out or recycle to nurture",IF(P246="Active","Leave: active",IF(P246="Check dates","Add dates",""))))</f>
        <v/>
      </c>
      <c r="S246" s="23">
        <f>IF(OR(R246="Re-engage now",R246="Investigate, then decide"),Q246+ROW()/1000000,"")</f>
        <v/>
      </c>
    </row>
    <row r="247">
      <c r="A247" s="24" t="n"/>
      <c r="B247" s="24" t="n"/>
      <c r="C247" s="24" t="n"/>
      <c r="D247" s="25" t="n"/>
      <c r="E247" s="26" t="n"/>
      <c r="F247" s="26" t="n"/>
      <c r="G247" s="26" t="n"/>
      <c r="H247" s="26" t="n"/>
      <c r="I247" s="26" t="n"/>
      <c r="J247" s="24" t="n"/>
      <c r="K247" s="24" t="n"/>
      <c r="L247" s="22">
        <f>IF(A247="","",IF(AND(F247="",E247=""),"",TODAY()-IF(F247="",E247,F247)))</f>
        <v/>
      </c>
      <c r="M247" s="22">
        <f>IF(OR(A247="",E247=""),"",TODAY()-E247)</f>
        <v/>
      </c>
      <c r="N247" s="22">
        <f>IF(OR(H247="",I247=""),"",I247-H247)</f>
        <v/>
      </c>
      <c r="O247" s="22">
        <f>IF(OR(F247="",G247=""),"",IF(G247-F247&gt;Settings!$B$8,"CRM activity, no buyer contact",""))</f>
        <v/>
      </c>
      <c r="P247" s="22">
        <f>IF(A247="","",IF(OR(C247="Closed won",C247="Closed lost"),"Closed",IF(L247="","Check dates",IF(L247&gt;=Settings!$B$5,"Likely dead",IF(L247&gt;=Settings!$B$4,"Dormant","Active")))))</f>
        <v/>
      </c>
      <c r="Q247" s="22">
        <f>IF(OR(P247="Dormant",P247="Likely dead"),ROUND(100*IFERROR(VLOOKUP(C247,Settings!$D$4:$E$8,2,FALSE),0.3)*MIN(1,N(D247)/Settings!$B$7)*IF(P247="Dormant",1-0.5*(L247-Settings!$B$4)/MAX(1,Settings!$B$5-Settings!$B$4),0.25),0),"")</f>
        <v/>
      </c>
      <c r="R247" s="22">
        <f>IF(P247="Dormant",IF(AND(N(D247)&gt;=Settings!$B$6,N(Q247)&gt;=40),"Re-engage now",IF(N(D247)&gt;=Settings!$B$6,"Investigate, then decide","Low value: batch or close")),IF(P247="Likely dead","Close out or recycle to nurture",IF(P247="Active","Leave: active",IF(P247="Check dates","Add dates",""))))</f>
        <v/>
      </c>
      <c r="S247" s="23">
        <f>IF(OR(R247="Re-engage now",R247="Investigate, then decide"),Q247+ROW()/1000000,"")</f>
        <v/>
      </c>
    </row>
    <row r="248">
      <c r="A248" s="24" t="n"/>
      <c r="B248" s="24" t="n"/>
      <c r="C248" s="24" t="n"/>
      <c r="D248" s="25" t="n"/>
      <c r="E248" s="26" t="n"/>
      <c r="F248" s="26" t="n"/>
      <c r="G248" s="26" t="n"/>
      <c r="H248" s="26" t="n"/>
      <c r="I248" s="26" t="n"/>
      <c r="J248" s="24" t="n"/>
      <c r="K248" s="24" t="n"/>
      <c r="L248" s="22">
        <f>IF(A248="","",IF(AND(F248="",E248=""),"",TODAY()-IF(F248="",E248,F248)))</f>
        <v/>
      </c>
      <c r="M248" s="22">
        <f>IF(OR(A248="",E248=""),"",TODAY()-E248)</f>
        <v/>
      </c>
      <c r="N248" s="22">
        <f>IF(OR(H248="",I248=""),"",I248-H248)</f>
        <v/>
      </c>
      <c r="O248" s="22">
        <f>IF(OR(F248="",G248=""),"",IF(G248-F248&gt;Settings!$B$8,"CRM activity, no buyer contact",""))</f>
        <v/>
      </c>
      <c r="P248" s="22">
        <f>IF(A248="","",IF(OR(C248="Closed won",C248="Closed lost"),"Closed",IF(L248="","Check dates",IF(L248&gt;=Settings!$B$5,"Likely dead",IF(L248&gt;=Settings!$B$4,"Dormant","Active")))))</f>
        <v/>
      </c>
      <c r="Q248" s="22">
        <f>IF(OR(P248="Dormant",P248="Likely dead"),ROUND(100*IFERROR(VLOOKUP(C248,Settings!$D$4:$E$8,2,FALSE),0.3)*MIN(1,N(D248)/Settings!$B$7)*IF(P248="Dormant",1-0.5*(L248-Settings!$B$4)/MAX(1,Settings!$B$5-Settings!$B$4),0.25),0),"")</f>
        <v/>
      </c>
      <c r="R248" s="22">
        <f>IF(P248="Dormant",IF(AND(N(D248)&gt;=Settings!$B$6,N(Q248)&gt;=40),"Re-engage now",IF(N(D248)&gt;=Settings!$B$6,"Investigate, then decide","Low value: batch or close")),IF(P248="Likely dead","Close out or recycle to nurture",IF(P248="Active","Leave: active",IF(P248="Check dates","Add dates",""))))</f>
        <v/>
      </c>
      <c r="S248" s="23">
        <f>IF(OR(R248="Re-engage now",R248="Investigate, then decide"),Q248+ROW()/1000000,"")</f>
        <v/>
      </c>
    </row>
    <row r="249">
      <c r="A249" s="24" t="n"/>
      <c r="B249" s="24" t="n"/>
      <c r="C249" s="24" t="n"/>
      <c r="D249" s="25" t="n"/>
      <c r="E249" s="26" t="n"/>
      <c r="F249" s="26" t="n"/>
      <c r="G249" s="26" t="n"/>
      <c r="H249" s="26" t="n"/>
      <c r="I249" s="26" t="n"/>
      <c r="J249" s="24" t="n"/>
      <c r="K249" s="24" t="n"/>
      <c r="L249" s="22">
        <f>IF(A249="","",IF(AND(F249="",E249=""),"",TODAY()-IF(F249="",E249,F249)))</f>
        <v/>
      </c>
      <c r="M249" s="22">
        <f>IF(OR(A249="",E249=""),"",TODAY()-E249)</f>
        <v/>
      </c>
      <c r="N249" s="22">
        <f>IF(OR(H249="",I249=""),"",I249-H249)</f>
        <v/>
      </c>
      <c r="O249" s="22">
        <f>IF(OR(F249="",G249=""),"",IF(G249-F249&gt;Settings!$B$8,"CRM activity, no buyer contact",""))</f>
        <v/>
      </c>
      <c r="P249" s="22">
        <f>IF(A249="","",IF(OR(C249="Closed won",C249="Closed lost"),"Closed",IF(L249="","Check dates",IF(L249&gt;=Settings!$B$5,"Likely dead",IF(L249&gt;=Settings!$B$4,"Dormant","Active")))))</f>
        <v/>
      </c>
      <c r="Q249" s="22">
        <f>IF(OR(P249="Dormant",P249="Likely dead"),ROUND(100*IFERROR(VLOOKUP(C249,Settings!$D$4:$E$8,2,FALSE),0.3)*MIN(1,N(D249)/Settings!$B$7)*IF(P249="Dormant",1-0.5*(L249-Settings!$B$4)/MAX(1,Settings!$B$5-Settings!$B$4),0.25),0),"")</f>
        <v/>
      </c>
      <c r="R249" s="22">
        <f>IF(P249="Dormant",IF(AND(N(D249)&gt;=Settings!$B$6,N(Q249)&gt;=40),"Re-engage now",IF(N(D249)&gt;=Settings!$B$6,"Investigate, then decide","Low value: batch or close")),IF(P249="Likely dead","Close out or recycle to nurture",IF(P249="Active","Leave: active",IF(P249="Check dates","Add dates",""))))</f>
        <v/>
      </c>
      <c r="S249" s="23">
        <f>IF(OR(R249="Re-engage now",R249="Investigate, then decide"),Q249+ROW()/1000000,"")</f>
        <v/>
      </c>
    </row>
    <row r="250">
      <c r="A250" s="24" t="n"/>
      <c r="B250" s="24" t="n"/>
      <c r="C250" s="24" t="n"/>
      <c r="D250" s="25" t="n"/>
      <c r="E250" s="26" t="n"/>
      <c r="F250" s="26" t="n"/>
      <c r="G250" s="26" t="n"/>
      <c r="H250" s="26" t="n"/>
      <c r="I250" s="26" t="n"/>
      <c r="J250" s="24" t="n"/>
      <c r="K250" s="24" t="n"/>
      <c r="L250" s="22">
        <f>IF(A250="","",IF(AND(F250="",E250=""),"",TODAY()-IF(F250="",E250,F250)))</f>
        <v/>
      </c>
      <c r="M250" s="22">
        <f>IF(OR(A250="",E250=""),"",TODAY()-E250)</f>
        <v/>
      </c>
      <c r="N250" s="22">
        <f>IF(OR(H250="",I250=""),"",I250-H250)</f>
        <v/>
      </c>
      <c r="O250" s="22">
        <f>IF(OR(F250="",G250=""),"",IF(G250-F250&gt;Settings!$B$8,"CRM activity, no buyer contact",""))</f>
        <v/>
      </c>
      <c r="P250" s="22">
        <f>IF(A250="","",IF(OR(C250="Closed won",C250="Closed lost"),"Closed",IF(L250="","Check dates",IF(L250&gt;=Settings!$B$5,"Likely dead",IF(L250&gt;=Settings!$B$4,"Dormant","Active")))))</f>
        <v/>
      </c>
      <c r="Q250" s="22">
        <f>IF(OR(P250="Dormant",P250="Likely dead"),ROUND(100*IFERROR(VLOOKUP(C250,Settings!$D$4:$E$8,2,FALSE),0.3)*MIN(1,N(D250)/Settings!$B$7)*IF(P250="Dormant",1-0.5*(L250-Settings!$B$4)/MAX(1,Settings!$B$5-Settings!$B$4),0.25),0),"")</f>
        <v/>
      </c>
      <c r="R250" s="22">
        <f>IF(P250="Dormant",IF(AND(N(D250)&gt;=Settings!$B$6,N(Q250)&gt;=40),"Re-engage now",IF(N(D250)&gt;=Settings!$B$6,"Investigate, then decide","Low value: batch or close")),IF(P250="Likely dead","Close out or recycle to nurture",IF(P250="Active","Leave: active",IF(P250="Check dates","Add dates",""))))</f>
        <v/>
      </c>
      <c r="S250" s="23">
        <f>IF(OR(R250="Re-engage now",R250="Investigate, then decide"),Q250+ROW()/1000000,"")</f>
        <v/>
      </c>
    </row>
    <row r="251">
      <c r="A251" s="24" t="n"/>
      <c r="B251" s="24" t="n"/>
      <c r="C251" s="24" t="n"/>
      <c r="D251" s="25" t="n"/>
      <c r="E251" s="26" t="n"/>
      <c r="F251" s="26" t="n"/>
      <c r="G251" s="26" t="n"/>
      <c r="H251" s="26" t="n"/>
      <c r="I251" s="26" t="n"/>
      <c r="J251" s="24" t="n"/>
      <c r="K251" s="24" t="n"/>
      <c r="L251" s="22">
        <f>IF(A251="","",IF(AND(F251="",E251=""),"",TODAY()-IF(F251="",E251,F251)))</f>
        <v/>
      </c>
      <c r="M251" s="22">
        <f>IF(OR(A251="",E251=""),"",TODAY()-E251)</f>
        <v/>
      </c>
      <c r="N251" s="22">
        <f>IF(OR(H251="",I251=""),"",I251-H251)</f>
        <v/>
      </c>
      <c r="O251" s="22">
        <f>IF(OR(F251="",G251=""),"",IF(G251-F251&gt;Settings!$B$8,"CRM activity, no buyer contact",""))</f>
        <v/>
      </c>
      <c r="P251" s="22">
        <f>IF(A251="","",IF(OR(C251="Closed won",C251="Closed lost"),"Closed",IF(L251="","Check dates",IF(L251&gt;=Settings!$B$5,"Likely dead",IF(L251&gt;=Settings!$B$4,"Dormant","Active")))))</f>
        <v/>
      </c>
      <c r="Q251" s="22">
        <f>IF(OR(P251="Dormant",P251="Likely dead"),ROUND(100*IFERROR(VLOOKUP(C251,Settings!$D$4:$E$8,2,FALSE),0.3)*MIN(1,N(D251)/Settings!$B$7)*IF(P251="Dormant",1-0.5*(L251-Settings!$B$4)/MAX(1,Settings!$B$5-Settings!$B$4),0.25),0),"")</f>
        <v/>
      </c>
      <c r="R251" s="22">
        <f>IF(P251="Dormant",IF(AND(N(D251)&gt;=Settings!$B$6,N(Q251)&gt;=40),"Re-engage now",IF(N(D251)&gt;=Settings!$B$6,"Investigate, then decide","Low value: batch or close")),IF(P251="Likely dead","Close out or recycle to nurture",IF(P251="Active","Leave: active",IF(P251="Check dates","Add dates",""))))</f>
        <v/>
      </c>
      <c r="S251" s="23">
        <f>IF(OR(R251="Re-engage now",R251="Investigate, then decide"),Q251+ROW()/1000000,"")</f>
        <v/>
      </c>
    </row>
    <row r="252">
      <c r="A252" s="24" t="n"/>
      <c r="B252" s="24" t="n"/>
      <c r="C252" s="24" t="n"/>
      <c r="D252" s="25" t="n"/>
      <c r="E252" s="26" t="n"/>
      <c r="F252" s="26" t="n"/>
      <c r="G252" s="26" t="n"/>
      <c r="H252" s="26" t="n"/>
      <c r="I252" s="26" t="n"/>
      <c r="J252" s="24" t="n"/>
      <c r="K252" s="24" t="n"/>
      <c r="L252" s="22">
        <f>IF(A252="","",IF(AND(F252="",E252=""),"",TODAY()-IF(F252="",E252,F252)))</f>
        <v/>
      </c>
      <c r="M252" s="22">
        <f>IF(OR(A252="",E252=""),"",TODAY()-E252)</f>
        <v/>
      </c>
      <c r="N252" s="22">
        <f>IF(OR(H252="",I252=""),"",I252-H252)</f>
        <v/>
      </c>
      <c r="O252" s="22">
        <f>IF(OR(F252="",G252=""),"",IF(G252-F252&gt;Settings!$B$8,"CRM activity, no buyer contact",""))</f>
        <v/>
      </c>
      <c r="P252" s="22">
        <f>IF(A252="","",IF(OR(C252="Closed won",C252="Closed lost"),"Closed",IF(L252="","Check dates",IF(L252&gt;=Settings!$B$5,"Likely dead",IF(L252&gt;=Settings!$B$4,"Dormant","Active")))))</f>
        <v/>
      </c>
      <c r="Q252" s="22">
        <f>IF(OR(P252="Dormant",P252="Likely dead"),ROUND(100*IFERROR(VLOOKUP(C252,Settings!$D$4:$E$8,2,FALSE),0.3)*MIN(1,N(D252)/Settings!$B$7)*IF(P252="Dormant",1-0.5*(L252-Settings!$B$4)/MAX(1,Settings!$B$5-Settings!$B$4),0.25),0),"")</f>
        <v/>
      </c>
      <c r="R252" s="22">
        <f>IF(P252="Dormant",IF(AND(N(D252)&gt;=Settings!$B$6,N(Q252)&gt;=40),"Re-engage now",IF(N(D252)&gt;=Settings!$B$6,"Investigate, then decide","Low value: batch or close")),IF(P252="Likely dead","Close out or recycle to nurture",IF(P252="Active","Leave: active",IF(P252="Check dates","Add dates",""))))</f>
        <v/>
      </c>
      <c r="S252" s="23">
        <f>IF(OR(R252="Re-engage now",R252="Investigate, then decide"),Q252+ROW()/1000000,"")</f>
        <v/>
      </c>
    </row>
    <row r="253">
      <c r="A253" s="24" t="n"/>
      <c r="B253" s="24" t="n"/>
      <c r="C253" s="24" t="n"/>
      <c r="D253" s="25" t="n"/>
      <c r="E253" s="26" t="n"/>
      <c r="F253" s="26" t="n"/>
      <c r="G253" s="26" t="n"/>
      <c r="H253" s="26" t="n"/>
      <c r="I253" s="26" t="n"/>
      <c r="J253" s="24" t="n"/>
      <c r="K253" s="24" t="n"/>
      <c r="L253" s="22">
        <f>IF(A253="","",IF(AND(F253="",E253=""),"",TODAY()-IF(F253="",E253,F253)))</f>
        <v/>
      </c>
      <c r="M253" s="22">
        <f>IF(OR(A253="",E253=""),"",TODAY()-E253)</f>
        <v/>
      </c>
      <c r="N253" s="22">
        <f>IF(OR(H253="",I253=""),"",I253-H253)</f>
        <v/>
      </c>
      <c r="O253" s="22">
        <f>IF(OR(F253="",G253=""),"",IF(G253-F253&gt;Settings!$B$8,"CRM activity, no buyer contact",""))</f>
        <v/>
      </c>
      <c r="P253" s="22">
        <f>IF(A253="","",IF(OR(C253="Closed won",C253="Closed lost"),"Closed",IF(L253="","Check dates",IF(L253&gt;=Settings!$B$5,"Likely dead",IF(L253&gt;=Settings!$B$4,"Dormant","Active")))))</f>
        <v/>
      </c>
      <c r="Q253" s="22">
        <f>IF(OR(P253="Dormant",P253="Likely dead"),ROUND(100*IFERROR(VLOOKUP(C253,Settings!$D$4:$E$8,2,FALSE),0.3)*MIN(1,N(D253)/Settings!$B$7)*IF(P253="Dormant",1-0.5*(L253-Settings!$B$4)/MAX(1,Settings!$B$5-Settings!$B$4),0.25),0),"")</f>
        <v/>
      </c>
      <c r="R253" s="22">
        <f>IF(P253="Dormant",IF(AND(N(D253)&gt;=Settings!$B$6,N(Q253)&gt;=40),"Re-engage now",IF(N(D253)&gt;=Settings!$B$6,"Investigate, then decide","Low value: batch or close")),IF(P253="Likely dead","Close out or recycle to nurture",IF(P253="Active","Leave: active",IF(P253="Check dates","Add dates",""))))</f>
        <v/>
      </c>
      <c r="S253" s="23">
        <f>IF(OR(R253="Re-engage now",R253="Investigate, then decide"),Q253+ROW()/1000000,"")</f>
        <v/>
      </c>
    </row>
    <row r="254">
      <c r="A254" s="24" t="n"/>
      <c r="B254" s="24" t="n"/>
      <c r="C254" s="24" t="n"/>
      <c r="D254" s="25" t="n"/>
      <c r="E254" s="26" t="n"/>
      <c r="F254" s="26" t="n"/>
      <c r="G254" s="26" t="n"/>
      <c r="H254" s="26" t="n"/>
      <c r="I254" s="26" t="n"/>
      <c r="J254" s="24" t="n"/>
      <c r="K254" s="24" t="n"/>
      <c r="L254" s="22">
        <f>IF(A254="","",IF(AND(F254="",E254=""),"",TODAY()-IF(F254="",E254,F254)))</f>
        <v/>
      </c>
      <c r="M254" s="22">
        <f>IF(OR(A254="",E254=""),"",TODAY()-E254)</f>
        <v/>
      </c>
      <c r="N254" s="22">
        <f>IF(OR(H254="",I254=""),"",I254-H254)</f>
        <v/>
      </c>
      <c r="O254" s="22">
        <f>IF(OR(F254="",G254=""),"",IF(G254-F254&gt;Settings!$B$8,"CRM activity, no buyer contact",""))</f>
        <v/>
      </c>
      <c r="P254" s="22">
        <f>IF(A254="","",IF(OR(C254="Closed won",C254="Closed lost"),"Closed",IF(L254="","Check dates",IF(L254&gt;=Settings!$B$5,"Likely dead",IF(L254&gt;=Settings!$B$4,"Dormant","Active")))))</f>
        <v/>
      </c>
      <c r="Q254" s="22">
        <f>IF(OR(P254="Dormant",P254="Likely dead"),ROUND(100*IFERROR(VLOOKUP(C254,Settings!$D$4:$E$8,2,FALSE),0.3)*MIN(1,N(D254)/Settings!$B$7)*IF(P254="Dormant",1-0.5*(L254-Settings!$B$4)/MAX(1,Settings!$B$5-Settings!$B$4),0.25),0),"")</f>
        <v/>
      </c>
      <c r="R254" s="22">
        <f>IF(P254="Dormant",IF(AND(N(D254)&gt;=Settings!$B$6,N(Q254)&gt;=40),"Re-engage now",IF(N(D254)&gt;=Settings!$B$6,"Investigate, then decide","Low value: batch or close")),IF(P254="Likely dead","Close out or recycle to nurture",IF(P254="Active","Leave: active",IF(P254="Check dates","Add dates",""))))</f>
        <v/>
      </c>
      <c r="S254" s="23">
        <f>IF(OR(R254="Re-engage now",R254="Investigate, then decide"),Q254+ROW()/1000000,"")</f>
        <v/>
      </c>
    </row>
    <row r="255">
      <c r="A255" s="24" t="n"/>
      <c r="B255" s="24" t="n"/>
      <c r="C255" s="24" t="n"/>
      <c r="D255" s="25" t="n"/>
      <c r="E255" s="26" t="n"/>
      <c r="F255" s="26" t="n"/>
      <c r="G255" s="26" t="n"/>
      <c r="H255" s="26" t="n"/>
      <c r="I255" s="26" t="n"/>
      <c r="J255" s="24" t="n"/>
      <c r="K255" s="24" t="n"/>
      <c r="L255" s="22">
        <f>IF(A255="","",IF(AND(F255="",E255=""),"",TODAY()-IF(F255="",E255,F255)))</f>
        <v/>
      </c>
      <c r="M255" s="22">
        <f>IF(OR(A255="",E255=""),"",TODAY()-E255)</f>
        <v/>
      </c>
      <c r="N255" s="22">
        <f>IF(OR(H255="",I255=""),"",I255-H255)</f>
        <v/>
      </c>
      <c r="O255" s="22">
        <f>IF(OR(F255="",G255=""),"",IF(G255-F255&gt;Settings!$B$8,"CRM activity, no buyer contact",""))</f>
        <v/>
      </c>
      <c r="P255" s="22">
        <f>IF(A255="","",IF(OR(C255="Closed won",C255="Closed lost"),"Closed",IF(L255="","Check dates",IF(L255&gt;=Settings!$B$5,"Likely dead",IF(L255&gt;=Settings!$B$4,"Dormant","Active")))))</f>
        <v/>
      </c>
      <c r="Q255" s="22">
        <f>IF(OR(P255="Dormant",P255="Likely dead"),ROUND(100*IFERROR(VLOOKUP(C255,Settings!$D$4:$E$8,2,FALSE),0.3)*MIN(1,N(D255)/Settings!$B$7)*IF(P255="Dormant",1-0.5*(L255-Settings!$B$4)/MAX(1,Settings!$B$5-Settings!$B$4),0.25),0),"")</f>
        <v/>
      </c>
      <c r="R255" s="22">
        <f>IF(P255="Dormant",IF(AND(N(D255)&gt;=Settings!$B$6,N(Q255)&gt;=40),"Re-engage now",IF(N(D255)&gt;=Settings!$B$6,"Investigate, then decide","Low value: batch or close")),IF(P255="Likely dead","Close out or recycle to nurture",IF(P255="Active","Leave: active",IF(P255="Check dates","Add dates",""))))</f>
        <v/>
      </c>
      <c r="S255" s="23">
        <f>IF(OR(R255="Re-engage now",R255="Investigate, then decide"),Q255+ROW()/1000000,"")</f>
        <v/>
      </c>
    </row>
    <row r="256">
      <c r="A256" s="24" t="n"/>
      <c r="B256" s="24" t="n"/>
      <c r="C256" s="24" t="n"/>
      <c r="D256" s="25" t="n"/>
      <c r="E256" s="26" t="n"/>
      <c r="F256" s="26" t="n"/>
      <c r="G256" s="26" t="n"/>
      <c r="H256" s="26" t="n"/>
      <c r="I256" s="26" t="n"/>
      <c r="J256" s="24" t="n"/>
      <c r="K256" s="24" t="n"/>
      <c r="L256" s="22">
        <f>IF(A256="","",IF(AND(F256="",E256=""),"",TODAY()-IF(F256="",E256,F256)))</f>
        <v/>
      </c>
      <c r="M256" s="22">
        <f>IF(OR(A256="",E256=""),"",TODAY()-E256)</f>
        <v/>
      </c>
      <c r="N256" s="22">
        <f>IF(OR(H256="",I256=""),"",I256-H256)</f>
        <v/>
      </c>
      <c r="O256" s="22">
        <f>IF(OR(F256="",G256=""),"",IF(G256-F256&gt;Settings!$B$8,"CRM activity, no buyer contact",""))</f>
        <v/>
      </c>
      <c r="P256" s="22">
        <f>IF(A256="","",IF(OR(C256="Closed won",C256="Closed lost"),"Closed",IF(L256="","Check dates",IF(L256&gt;=Settings!$B$5,"Likely dead",IF(L256&gt;=Settings!$B$4,"Dormant","Active")))))</f>
        <v/>
      </c>
      <c r="Q256" s="22">
        <f>IF(OR(P256="Dormant",P256="Likely dead"),ROUND(100*IFERROR(VLOOKUP(C256,Settings!$D$4:$E$8,2,FALSE),0.3)*MIN(1,N(D256)/Settings!$B$7)*IF(P256="Dormant",1-0.5*(L256-Settings!$B$4)/MAX(1,Settings!$B$5-Settings!$B$4),0.25),0),"")</f>
        <v/>
      </c>
      <c r="R256" s="22">
        <f>IF(P256="Dormant",IF(AND(N(D256)&gt;=Settings!$B$6,N(Q256)&gt;=40),"Re-engage now",IF(N(D256)&gt;=Settings!$B$6,"Investigate, then decide","Low value: batch or close")),IF(P256="Likely dead","Close out or recycle to nurture",IF(P256="Active","Leave: active",IF(P256="Check dates","Add dates",""))))</f>
        <v/>
      </c>
      <c r="S256" s="23">
        <f>IF(OR(R256="Re-engage now",R256="Investigate, then decide"),Q256+ROW()/1000000,"")</f>
        <v/>
      </c>
    </row>
    <row r="257">
      <c r="A257" s="24" t="n"/>
      <c r="B257" s="24" t="n"/>
      <c r="C257" s="24" t="n"/>
      <c r="D257" s="25" t="n"/>
      <c r="E257" s="26" t="n"/>
      <c r="F257" s="26" t="n"/>
      <c r="G257" s="26" t="n"/>
      <c r="H257" s="26" t="n"/>
      <c r="I257" s="26" t="n"/>
      <c r="J257" s="24" t="n"/>
      <c r="K257" s="24" t="n"/>
      <c r="L257" s="22">
        <f>IF(A257="","",IF(AND(F257="",E257=""),"",TODAY()-IF(F257="",E257,F257)))</f>
        <v/>
      </c>
      <c r="M257" s="22">
        <f>IF(OR(A257="",E257=""),"",TODAY()-E257)</f>
        <v/>
      </c>
      <c r="N257" s="22">
        <f>IF(OR(H257="",I257=""),"",I257-H257)</f>
        <v/>
      </c>
      <c r="O257" s="22">
        <f>IF(OR(F257="",G257=""),"",IF(G257-F257&gt;Settings!$B$8,"CRM activity, no buyer contact",""))</f>
        <v/>
      </c>
      <c r="P257" s="22">
        <f>IF(A257="","",IF(OR(C257="Closed won",C257="Closed lost"),"Closed",IF(L257="","Check dates",IF(L257&gt;=Settings!$B$5,"Likely dead",IF(L257&gt;=Settings!$B$4,"Dormant","Active")))))</f>
        <v/>
      </c>
      <c r="Q257" s="22">
        <f>IF(OR(P257="Dormant",P257="Likely dead"),ROUND(100*IFERROR(VLOOKUP(C257,Settings!$D$4:$E$8,2,FALSE),0.3)*MIN(1,N(D257)/Settings!$B$7)*IF(P257="Dormant",1-0.5*(L257-Settings!$B$4)/MAX(1,Settings!$B$5-Settings!$B$4),0.25),0),"")</f>
        <v/>
      </c>
      <c r="R257" s="22">
        <f>IF(P257="Dormant",IF(AND(N(D257)&gt;=Settings!$B$6,N(Q257)&gt;=40),"Re-engage now",IF(N(D257)&gt;=Settings!$B$6,"Investigate, then decide","Low value: batch or close")),IF(P257="Likely dead","Close out or recycle to nurture",IF(P257="Active","Leave: active",IF(P257="Check dates","Add dates",""))))</f>
        <v/>
      </c>
      <c r="S257" s="23">
        <f>IF(OR(R257="Re-engage now",R257="Investigate, then decide"),Q257+ROW()/1000000,"")</f>
        <v/>
      </c>
    </row>
    <row r="258">
      <c r="A258" s="24" t="n"/>
      <c r="B258" s="24" t="n"/>
      <c r="C258" s="24" t="n"/>
      <c r="D258" s="25" t="n"/>
      <c r="E258" s="26" t="n"/>
      <c r="F258" s="26" t="n"/>
      <c r="G258" s="26" t="n"/>
      <c r="H258" s="26" t="n"/>
      <c r="I258" s="26" t="n"/>
      <c r="J258" s="24" t="n"/>
      <c r="K258" s="24" t="n"/>
      <c r="L258" s="22">
        <f>IF(A258="","",IF(AND(F258="",E258=""),"",TODAY()-IF(F258="",E258,F258)))</f>
        <v/>
      </c>
      <c r="M258" s="22">
        <f>IF(OR(A258="",E258=""),"",TODAY()-E258)</f>
        <v/>
      </c>
      <c r="N258" s="22">
        <f>IF(OR(H258="",I258=""),"",I258-H258)</f>
        <v/>
      </c>
      <c r="O258" s="22">
        <f>IF(OR(F258="",G258=""),"",IF(G258-F258&gt;Settings!$B$8,"CRM activity, no buyer contact",""))</f>
        <v/>
      </c>
      <c r="P258" s="22">
        <f>IF(A258="","",IF(OR(C258="Closed won",C258="Closed lost"),"Closed",IF(L258="","Check dates",IF(L258&gt;=Settings!$B$5,"Likely dead",IF(L258&gt;=Settings!$B$4,"Dormant","Active")))))</f>
        <v/>
      </c>
      <c r="Q258" s="22">
        <f>IF(OR(P258="Dormant",P258="Likely dead"),ROUND(100*IFERROR(VLOOKUP(C258,Settings!$D$4:$E$8,2,FALSE),0.3)*MIN(1,N(D258)/Settings!$B$7)*IF(P258="Dormant",1-0.5*(L258-Settings!$B$4)/MAX(1,Settings!$B$5-Settings!$B$4),0.25),0),"")</f>
        <v/>
      </c>
      <c r="R258" s="22">
        <f>IF(P258="Dormant",IF(AND(N(D258)&gt;=Settings!$B$6,N(Q258)&gt;=40),"Re-engage now",IF(N(D258)&gt;=Settings!$B$6,"Investigate, then decide","Low value: batch or close")),IF(P258="Likely dead","Close out or recycle to nurture",IF(P258="Active","Leave: active",IF(P258="Check dates","Add dates",""))))</f>
        <v/>
      </c>
      <c r="S258" s="23">
        <f>IF(OR(R258="Re-engage now",R258="Investigate, then decide"),Q258+ROW()/1000000,"")</f>
        <v/>
      </c>
    </row>
    <row r="259">
      <c r="A259" s="24" t="n"/>
      <c r="B259" s="24" t="n"/>
      <c r="C259" s="24" t="n"/>
      <c r="D259" s="25" t="n"/>
      <c r="E259" s="26" t="n"/>
      <c r="F259" s="26" t="n"/>
      <c r="G259" s="26" t="n"/>
      <c r="H259" s="26" t="n"/>
      <c r="I259" s="26" t="n"/>
      <c r="J259" s="24" t="n"/>
      <c r="K259" s="24" t="n"/>
      <c r="L259" s="22">
        <f>IF(A259="","",IF(AND(F259="",E259=""),"",TODAY()-IF(F259="",E259,F259)))</f>
        <v/>
      </c>
      <c r="M259" s="22">
        <f>IF(OR(A259="",E259=""),"",TODAY()-E259)</f>
        <v/>
      </c>
      <c r="N259" s="22">
        <f>IF(OR(H259="",I259=""),"",I259-H259)</f>
        <v/>
      </c>
      <c r="O259" s="22">
        <f>IF(OR(F259="",G259=""),"",IF(G259-F259&gt;Settings!$B$8,"CRM activity, no buyer contact",""))</f>
        <v/>
      </c>
      <c r="P259" s="22">
        <f>IF(A259="","",IF(OR(C259="Closed won",C259="Closed lost"),"Closed",IF(L259="","Check dates",IF(L259&gt;=Settings!$B$5,"Likely dead",IF(L259&gt;=Settings!$B$4,"Dormant","Active")))))</f>
        <v/>
      </c>
      <c r="Q259" s="22">
        <f>IF(OR(P259="Dormant",P259="Likely dead"),ROUND(100*IFERROR(VLOOKUP(C259,Settings!$D$4:$E$8,2,FALSE),0.3)*MIN(1,N(D259)/Settings!$B$7)*IF(P259="Dormant",1-0.5*(L259-Settings!$B$4)/MAX(1,Settings!$B$5-Settings!$B$4),0.25),0),"")</f>
        <v/>
      </c>
      <c r="R259" s="22">
        <f>IF(P259="Dormant",IF(AND(N(D259)&gt;=Settings!$B$6,N(Q259)&gt;=40),"Re-engage now",IF(N(D259)&gt;=Settings!$B$6,"Investigate, then decide","Low value: batch or close")),IF(P259="Likely dead","Close out or recycle to nurture",IF(P259="Active","Leave: active",IF(P259="Check dates","Add dates",""))))</f>
        <v/>
      </c>
      <c r="S259" s="23">
        <f>IF(OR(R259="Re-engage now",R259="Investigate, then decide"),Q259+ROW()/1000000,"")</f>
        <v/>
      </c>
    </row>
    <row r="260">
      <c r="A260" s="24" t="n"/>
      <c r="B260" s="24" t="n"/>
      <c r="C260" s="24" t="n"/>
      <c r="D260" s="25" t="n"/>
      <c r="E260" s="26" t="n"/>
      <c r="F260" s="26" t="n"/>
      <c r="G260" s="26" t="n"/>
      <c r="H260" s="26" t="n"/>
      <c r="I260" s="26" t="n"/>
      <c r="J260" s="24" t="n"/>
      <c r="K260" s="24" t="n"/>
      <c r="L260" s="22">
        <f>IF(A260="","",IF(AND(F260="",E260=""),"",TODAY()-IF(F260="",E260,F260)))</f>
        <v/>
      </c>
      <c r="M260" s="22">
        <f>IF(OR(A260="",E260=""),"",TODAY()-E260)</f>
        <v/>
      </c>
      <c r="N260" s="22">
        <f>IF(OR(H260="",I260=""),"",I260-H260)</f>
        <v/>
      </c>
      <c r="O260" s="22">
        <f>IF(OR(F260="",G260=""),"",IF(G260-F260&gt;Settings!$B$8,"CRM activity, no buyer contact",""))</f>
        <v/>
      </c>
      <c r="P260" s="22">
        <f>IF(A260="","",IF(OR(C260="Closed won",C260="Closed lost"),"Closed",IF(L260="","Check dates",IF(L260&gt;=Settings!$B$5,"Likely dead",IF(L260&gt;=Settings!$B$4,"Dormant","Active")))))</f>
        <v/>
      </c>
      <c r="Q260" s="22">
        <f>IF(OR(P260="Dormant",P260="Likely dead"),ROUND(100*IFERROR(VLOOKUP(C260,Settings!$D$4:$E$8,2,FALSE),0.3)*MIN(1,N(D260)/Settings!$B$7)*IF(P260="Dormant",1-0.5*(L260-Settings!$B$4)/MAX(1,Settings!$B$5-Settings!$B$4),0.25),0),"")</f>
        <v/>
      </c>
      <c r="R260" s="22">
        <f>IF(P260="Dormant",IF(AND(N(D260)&gt;=Settings!$B$6,N(Q260)&gt;=40),"Re-engage now",IF(N(D260)&gt;=Settings!$B$6,"Investigate, then decide","Low value: batch or close")),IF(P260="Likely dead","Close out or recycle to nurture",IF(P260="Active","Leave: active",IF(P260="Check dates","Add dates",""))))</f>
        <v/>
      </c>
      <c r="S260" s="23">
        <f>IF(OR(R260="Re-engage now",R260="Investigate, then decide"),Q260+ROW()/1000000,"")</f>
        <v/>
      </c>
    </row>
    <row r="261">
      <c r="A261" s="24" t="n"/>
      <c r="B261" s="24" t="n"/>
      <c r="C261" s="24" t="n"/>
      <c r="D261" s="25" t="n"/>
      <c r="E261" s="26" t="n"/>
      <c r="F261" s="26" t="n"/>
      <c r="G261" s="26" t="n"/>
      <c r="H261" s="26" t="n"/>
      <c r="I261" s="26" t="n"/>
      <c r="J261" s="24" t="n"/>
      <c r="K261" s="24" t="n"/>
      <c r="L261" s="22">
        <f>IF(A261="","",IF(AND(F261="",E261=""),"",TODAY()-IF(F261="",E261,F261)))</f>
        <v/>
      </c>
      <c r="M261" s="22">
        <f>IF(OR(A261="",E261=""),"",TODAY()-E261)</f>
        <v/>
      </c>
      <c r="N261" s="22">
        <f>IF(OR(H261="",I261=""),"",I261-H261)</f>
        <v/>
      </c>
      <c r="O261" s="22">
        <f>IF(OR(F261="",G261=""),"",IF(G261-F261&gt;Settings!$B$8,"CRM activity, no buyer contact",""))</f>
        <v/>
      </c>
      <c r="P261" s="22">
        <f>IF(A261="","",IF(OR(C261="Closed won",C261="Closed lost"),"Closed",IF(L261="","Check dates",IF(L261&gt;=Settings!$B$5,"Likely dead",IF(L261&gt;=Settings!$B$4,"Dormant","Active")))))</f>
        <v/>
      </c>
      <c r="Q261" s="22">
        <f>IF(OR(P261="Dormant",P261="Likely dead"),ROUND(100*IFERROR(VLOOKUP(C261,Settings!$D$4:$E$8,2,FALSE),0.3)*MIN(1,N(D261)/Settings!$B$7)*IF(P261="Dormant",1-0.5*(L261-Settings!$B$4)/MAX(1,Settings!$B$5-Settings!$B$4),0.25),0),"")</f>
        <v/>
      </c>
      <c r="R261" s="22">
        <f>IF(P261="Dormant",IF(AND(N(D261)&gt;=Settings!$B$6,N(Q261)&gt;=40),"Re-engage now",IF(N(D261)&gt;=Settings!$B$6,"Investigate, then decide","Low value: batch or close")),IF(P261="Likely dead","Close out or recycle to nurture",IF(P261="Active","Leave: active",IF(P261="Check dates","Add dates",""))))</f>
        <v/>
      </c>
      <c r="S261" s="23">
        <f>IF(OR(R261="Re-engage now",R261="Investigate, then decide"),Q261+ROW()/1000000,"")</f>
        <v/>
      </c>
    </row>
    <row r="262">
      <c r="A262" s="24" t="n"/>
      <c r="B262" s="24" t="n"/>
      <c r="C262" s="24" t="n"/>
      <c r="D262" s="25" t="n"/>
      <c r="E262" s="26" t="n"/>
      <c r="F262" s="26" t="n"/>
      <c r="G262" s="26" t="n"/>
      <c r="H262" s="26" t="n"/>
      <c r="I262" s="26" t="n"/>
      <c r="J262" s="24" t="n"/>
      <c r="K262" s="24" t="n"/>
      <c r="L262" s="22">
        <f>IF(A262="","",IF(AND(F262="",E262=""),"",TODAY()-IF(F262="",E262,F262)))</f>
        <v/>
      </c>
      <c r="M262" s="22">
        <f>IF(OR(A262="",E262=""),"",TODAY()-E262)</f>
        <v/>
      </c>
      <c r="N262" s="22">
        <f>IF(OR(H262="",I262=""),"",I262-H262)</f>
        <v/>
      </c>
      <c r="O262" s="22">
        <f>IF(OR(F262="",G262=""),"",IF(G262-F262&gt;Settings!$B$8,"CRM activity, no buyer contact",""))</f>
        <v/>
      </c>
      <c r="P262" s="22">
        <f>IF(A262="","",IF(OR(C262="Closed won",C262="Closed lost"),"Closed",IF(L262="","Check dates",IF(L262&gt;=Settings!$B$5,"Likely dead",IF(L262&gt;=Settings!$B$4,"Dormant","Active")))))</f>
        <v/>
      </c>
      <c r="Q262" s="22">
        <f>IF(OR(P262="Dormant",P262="Likely dead"),ROUND(100*IFERROR(VLOOKUP(C262,Settings!$D$4:$E$8,2,FALSE),0.3)*MIN(1,N(D262)/Settings!$B$7)*IF(P262="Dormant",1-0.5*(L262-Settings!$B$4)/MAX(1,Settings!$B$5-Settings!$B$4),0.25),0),"")</f>
        <v/>
      </c>
      <c r="R262" s="22">
        <f>IF(P262="Dormant",IF(AND(N(D262)&gt;=Settings!$B$6,N(Q262)&gt;=40),"Re-engage now",IF(N(D262)&gt;=Settings!$B$6,"Investigate, then decide","Low value: batch or close")),IF(P262="Likely dead","Close out or recycle to nurture",IF(P262="Active","Leave: active",IF(P262="Check dates","Add dates",""))))</f>
        <v/>
      </c>
      <c r="S262" s="23">
        <f>IF(OR(R262="Re-engage now",R262="Investigate, then decide"),Q262+ROW()/1000000,"")</f>
        <v/>
      </c>
    </row>
    <row r="263">
      <c r="A263" s="24" t="n"/>
      <c r="B263" s="24" t="n"/>
      <c r="C263" s="24" t="n"/>
      <c r="D263" s="25" t="n"/>
      <c r="E263" s="26" t="n"/>
      <c r="F263" s="26" t="n"/>
      <c r="G263" s="26" t="n"/>
      <c r="H263" s="26" t="n"/>
      <c r="I263" s="26" t="n"/>
      <c r="J263" s="24" t="n"/>
      <c r="K263" s="24" t="n"/>
      <c r="L263" s="22">
        <f>IF(A263="","",IF(AND(F263="",E263=""),"",TODAY()-IF(F263="",E263,F263)))</f>
        <v/>
      </c>
      <c r="M263" s="22">
        <f>IF(OR(A263="",E263=""),"",TODAY()-E263)</f>
        <v/>
      </c>
      <c r="N263" s="22">
        <f>IF(OR(H263="",I263=""),"",I263-H263)</f>
        <v/>
      </c>
      <c r="O263" s="22">
        <f>IF(OR(F263="",G263=""),"",IF(G263-F263&gt;Settings!$B$8,"CRM activity, no buyer contact",""))</f>
        <v/>
      </c>
      <c r="P263" s="22">
        <f>IF(A263="","",IF(OR(C263="Closed won",C263="Closed lost"),"Closed",IF(L263="","Check dates",IF(L263&gt;=Settings!$B$5,"Likely dead",IF(L263&gt;=Settings!$B$4,"Dormant","Active")))))</f>
        <v/>
      </c>
      <c r="Q263" s="22">
        <f>IF(OR(P263="Dormant",P263="Likely dead"),ROUND(100*IFERROR(VLOOKUP(C263,Settings!$D$4:$E$8,2,FALSE),0.3)*MIN(1,N(D263)/Settings!$B$7)*IF(P263="Dormant",1-0.5*(L263-Settings!$B$4)/MAX(1,Settings!$B$5-Settings!$B$4),0.25),0),"")</f>
        <v/>
      </c>
      <c r="R263" s="22">
        <f>IF(P263="Dormant",IF(AND(N(D263)&gt;=Settings!$B$6,N(Q263)&gt;=40),"Re-engage now",IF(N(D263)&gt;=Settings!$B$6,"Investigate, then decide","Low value: batch or close")),IF(P263="Likely dead","Close out or recycle to nurture",IF(P263="Active","Leave: active",IF(P263="Check dates","Add dates",""))))</f>
        <v/>
      </c>
      <c r="S263" s="23">
        <f>IF(OR(R263="Re-engage now",R263="Investigate, then decide"),Q263+ROW()/1000000,"")</f>
        <v/>
      </c>
    </row>
    <row r="264">
      <c r="A264" s="24" t="n"/>
      <c r="B264" s="24" t="n"/>
      <c r="C264" s="24" t="n"/>
      <c r="D264" s="25" t="n"/>
      <c r="E264" s="26" t="n"/>
      <c r="F264" s="26" t="n"/>
      <c r="G264" s="26" t="n"/>
      <c r="H264" s="26" t="n"/>
      <c r="I264" s="26" t="n"/>
      <c r="J264" s="24" t="n"/>
      <c r="K264" s="24" t="n"/>
      <c r="L264" s="22">
        <f>IF(A264="","",IF(AND(F264="",E264=""),"",TODAY()-IF(F264="",E264,F264)))</f>
        <v/>
      </c>
      <c r="M264" s="22">
        <f>IF(OR(A264="",E264=""),"",TODAY()-E264)</f>
        <v/>
      </c>
      <c r="N264" s="22">
        <f>IF(OR(H264="",I264=""),"",I264-H264)</f>
        <v/>
      </c>
      <c r="O264" s="22">
        <f>IF(OR(F264="",G264=""),"",IF(G264-F264&gt;Settings!$B$8,"CRM activity, no buyer contact",""))</f>
        <v/>
      </c>
      <c r="P264" s="22">
        <f>IF(A264="","",IF(OR(C264="Closed won",C264="Closed lost"),"Closed",IF(L264="","Check dates",IF(L264&gt;=Settings!$B$5,"Likely dead",IF(L264&gt;=Settings!$B$4,"Dormant","Active")))))</f>
        <v/>
      </c>
      <c r="Q264" s="22">
        <f>IF(OR(P264="Dormant",P264="Likely dead"),ROUND(100*IFERROR(VLOOKUP(C264,Settings!$D$4:$E$8,2,FALSE),0.3)*MIN(1,N(D264)/Settings!$B$7)*IF(P264="Dormant",1-0.5*(L264-Settings!$B$4)/MAX(1,Settings!$B$5-Settings!$B$4),0.25),0),"")</f>
        <v/>
      </c>
      <c r="R264" s="22">
        <f>IF(P264="Dormant",IF(AND(N(D264)&gt;=Settings!$B$6,N(Q264)&gt;=40),"Re-engage now",IF(N(D264)&gt;=Settings!$B$6,"Investigate, then decide","Low value: batch or close")),IF(P264="Likely dead","Close out or recycle to nurture",IF(P264="Active","Leave: active",IF(P264="Check dates","Add dates",""))))</f>
        <v/>
      </c>
      <c r="S264" s="23">
        <f>IF(OR(R264="Re-engage now",R264="Investigate, then decide"),Q264+ROW()/1000000,"")</f>
        <v/>
      </c>
    </row>
    <row r="265">
      <c r="A265" s="24" t="n"/>
      <c r="B265" s="24" t="n"/>
      <c r="C265" s="24" t="n"/>
      <c r="D265" s="25" t="n"/>
      <c r="E265" s="26" t="n"/>
      <c r="F265" s="26" t="n"/>
      <c r="G265" s="26" t="n"/>
      <c r="H265" s="26" t="n"/>
      <c r="I265" s="26" t="n"/>
      <c r="J265" s="24" t="n"/>
      <c r="K265" s="24" t="n"/>
      <c r="L265" s="22">
        <f>IF(A265="","",IF(AND(F265="",E265=""),"",TODAY()-IF(F265="",E265,F265)))</f>
        <v/>
      </c>
      <c r="M265" s="22">
        <f>IF(OR(A265="",E265=""),"",TODAY()-E265)</f>
        <v/>
      </c>
      <c r="N265" s="22">
        <f>IF(OR(H265="",I265=""),"",I265-H265)</f>
        <v/>
      </c>
      <c r="O265" s="22">
        <f>IF(OR(F265="",G265=""),"",IF(G265-F265&gt;Settings!$B$8,"CRM activity, no buyer contact",""))</f>
        <v/>
      </c>
      <c r="P265" s="22">
        <f>IF(A265="","",IF(OR(C265="Closed won",C265="Closed lost"),"Closed",IF(L265="","Check dates",IF(L265&gt;=Settings!$B$5,"Likely dead",IF(L265&gt;=Settings!$B$4,"Dormant","Active")))))</f>
        <v/>
      </c>
      <c r="Q265" s="22">
        <f>IF(OR(P265="Dormant",P265="Likely dead"),ROUND(100*IFERROR(VLOOKUP(C265,Settings!$D$4:$E$8,2,FALSE),0.3)*MIN(1,N(D265)/Settings!$B$7)*IF(P265="Dormant",1-0.5*(L265-Settings!$B$4)/MAX(1,Settings!$B$5-Settings!$B$4),0.25),0),"")</f>
        <v/>
      </c>
      <c r="R265" s="22">
        <f>IF(P265="Dormant",IF(AND(N(D265)&gt;=Settings!$B$6,N(Q265)&gt;=40),"Re-engage now",IF(N(D265)&gt;=Settings!$B$6,"Investigate, then decide","Low value: batch or close")),IF(P265="Likely dead","Close out or recycle to nurture",IF(P265="Active","Leave: active",IF(P265="Check dates","Add dates",""))))</f>
        <v/>
      </c>
      <c r="S265" s="23">
        <f>IF(OR(R265="Re-engage now",R265="Investigate, then decide"),Q265+ROW()/1000000,"")</f>
        <v/>
      </c>
    </row>
    <row r="266">
      <c r="A266" s="24" t="n"/>
      <c r="B266" s="24" t="n"/>
      <c r="C266" s="24" t="n"/>
      <c r="D266" s="25" t="n"/>
      <c r="E266" s="26" t="n"/>
      <c r="F266" s="26" t="n"/>
      <c r="G266" s="26" t="n"/>
      <c r="H266" s="26" t="n"/>
      <c r="I266" s="26" t="n"/>
      <c r="J266" s="24" t="n"/>
      <c r="K266" s="24" t="n"/>
      <c r="L266" s="22">
        <f>IF(A266="","",IF(AND(F266="",E266=""),"",TODAY()-IF(F266="",E266,F266)))</f>
        <v/>
      </c>
      <c r="M266" s="22">
        <f>IF(OR(A266="",E266=""),"",TODAY()-E266)</f>
        <v/>
      </c>
      <c r="N266" s="22">
        <f>IF(OR(H266="",I266=""),"",I266-H266)</f>
        <v/>
      </c>
      <c r="O266" s="22">
        <f>IF(OR(F266="",G266=""),"",IF(G266-F266&gt;Settings!$B$8,"CRM activity, no buyer contact",""))</f>
        <v/>
      </c>
      <c r="P266" s="22">
        <f>IF(A266="","",IF(OR(C266="Closed won",C266="Closed lost"),"Closed",IF(L266="","Check dates",IF(L266&gt;=Settings!$B$5,"Likely dead",IF(L266&gt;=Settings!$B$4,"Dormant","Active")))))</f>
        <v/>
      </c>
      <c r="Q266" s="22">
        <f>IF(OR(P266="Dormant",P266="Likely dead"),ROUND(100*IFERROR(VLOOKUP(C266,Settings!$D$4:$E$8,2,FALSE),0.3)*MIN(1,N(D266)/Settings!$B$7)*IF(P266="Dormant",1-0.5*(L266-Settings!$B$4)/MAX(1,Settings!$B$5-Settings!$B$4),0.25),0),"")</f>
        <v/>
      </c>
      <c r="R266" s="22">
        <f>IF(P266="Dormant",IF(AND(N(D266)&gt;=Settings!$B$6,N(Q266)&gt;=40),"Re-engage now",IF(N(D266)&gt;=Settings!$B$6,"Investigate, then decide","Low value: batch or close")),IF(P266="Likely dead","Close out or recycle to nurture",IF(P266="Active","Leave: active",IF(P266="Check dates","Add dates",""))))</f>
        <v/>
      </c>
      <c r="S266" s="23">
        <f>IF(OR(R266="Re-engage now",R266="Investigate, then decide"),Q266+ROW()/1000000,"")</f>
        <v/>
      </c>
    </row>
    <row r="267">
      <c r="A267" s="24" t="n"/>
      <c r="B267" s="24" t="n"/>
      <c r="C267" s="24" t="n"/>
      <c r="D267" s="25" t="n"/>
      <c r="E267" s="26" t="n"/>
      <c r="F267" s="26" t="n"/>
      <c r="G267" s="26" t="n"/>
      <c r="H267" s="26" t="n"/>
      <c r="I267" s="26" t="n"/>
      <c r="J267" s="24" t="n"/>
      <c r="K267" s="24" t="n"/>
      <c r="L267" s="22">
        <f>IF(A267="","",IF(AND(F267="",E267=""),"",TODAY()-IF(F267="",E267,F267)))</f>
        <v/>
      </c>
      <c r="M267" s="22">
        <f>IF(OR(A267="",E267=""),"",TODAY()-E267)</f>
        <v/>
      </c>
      <c r="N267" s="22">
        <f>IF(OR(H267="",I267=""),"",I267-H267)</f>
        <v/>
      </c>
      <c r="O267" s="22">
        <f>IF(OR(F267="",G267=""),"",IF(G267-F267&gt;Settings!$B$8,"CRM activity, no buyer contact",""))</f>
        <v/>
      </c>
      <c r="P267" s="22">
        <f>IF(A267="","",IF(OR(C267="Closed won",C267="Closed lost"),"Closed",IF(L267="","Check dates",IF(L267&gt;=Settings!$B$5,"Likely dead",IF(L267&gt;=Settings!$B$4,"Dormant","Active")))))</f>
        <v/>
      </c>
      <c r="Q267" s="22">
        <f>IF(OR(P267="Dormant",P267="Likely dead"),ROUND(100*IFERROR(VLOOKUP(C267,Settings!$D$4:$E$8,2,FALSE),0.3)*MIN(1,N(D267)/Settings!$B$7)*IF(P267="Dormant",1-0.5*(L267-Settings!$B$4)/MAX(1,Settings!$B$5-Settings!$B$4),0.25),0),"")</f>
        <v/>
      </c>
      <c r="R267" s="22">
        <f>IF(P267="Dormant",IF(AND(N(D267)&gt;=Settings!$B$6,N(Q267)&gt;=40),"Re-engage now",IF(N(D267)&gt;=Settings!$B$6,"Investigate, then decide","Low value: batch or close")),IF(P267="Likely dead","Close out or recycle to nurture",IF(P267="Active","Leave: active",IF(P267="Check dates","Add dates",""))))</f>
        <v/>
      </c>
      <c r="S267" s="23">
        <f>IF(OR(R267="Re-engage now",R267="Investigate, then decide"),Q267+ROW()/1000000,"")</f>
        <v/>
      </c>
    </row>
    <row r="268">
      <c r="A268" s="24" t="n"/>
      <c r="B268" s="24" t="n"/>
      <c r="C268" s="24" t="n"/>
      <c r="D268" s="25" t="n"/>
      <c r="E268" s="26" t="n"/>
      <c r="F268" s="26" t="n"/>
      <c r="G268" s="26" t="n"/>
      <c r="H268" s="26" t="n"/>
      <c r="I268" s="26" t="n"/>
      <c r="J268" s="24" t="n"/>
      <c r="K268" s="24" t="n"/>
      <c r="L268" s="22">
        <f>IF(A268="","",IF(AND(F268="",E268=""),"",TODAY()-IF(F268="",E268,F268)))</f>
        <v/>
      </c>
      <c r="M268" s="22">
        <f>IF(OR(A268="",E268=""),"",TODAY()-E268)</f>
        <v/>
      </c>
      <c r="N268" s="22">
        <f>IF(OR(H268="",I268=""),"",I268-H268)</f>
        <v/>
      </c>
      <c r="O268" s="22">
        <f>IF(OR(F268="",G268=""),"",IF(G268-F268&gt;Settings!$B$8,"CRM activity, no buyer contact",""))</f>
        <v/>
      </c>
      <c r="P268" s="22">
        <f>IF(A268="","",IF(OR(C268="Closed won",C268="Closed lost"),"Closed",IF(L268="","Check dates",IF(L268&gt;=Settings!$B$5,"Likely dead",IF(L268&gt;=Settings!$B$4,"Dormant","Active")))))</f>
        <v/>
      </c>
      <c r="Q268" s="22">
        <f>IF(OR(P268="Dormant",P268="Likely dead"),ROUND(100*IFERROR(VLOOKUP(C268,Settings!$D$4:$E$8,2,FALSE),0.3)*MIN(1,N(D268)/Settings!$B$7)*IF(P268="Dormant",1-0.5*(L268-Settings!$B$4)/MAX(1,Settings!$B$5-Settings!$B$4),0.25),0),"")</f>
        <v/>
      </c>
      <c r="R268" s="22">
        <f>IF(P268="Dormant",IF(AND(N(D268)&gt;=Settings!$B$6,N(Q268)&gt;=40),"Re-engage now",IF(N(D268)&gt;=Settings!$B$6,"Investigate, then decide","Low value: batch or close")),IF(P268="Likely dead","Close out or recycle to nurture",IF(P268="Active","Leave: active",IF(P268="Check dates","Add dates",""))))</f>
        <v/>
      </c>
      <c r="S268" s="23">
        <f>IF(OR(R268="Re-engage now",R268="Investigate, then decide"),Q268+ROW()/1000000,"")</f>
        <v/>
      </c>
    </row>
    <row r="269">
      <c r="A269" s="24" t="n"/>
      <c r="B269" s="24" t="n"/>
      <c r="C269" s="24" t="n"/>
      <c r="D269" s="25" t="n"/>
      <c r="E269" s="26" t="n"/>
      <c r="F269" s="26" t="n"/>
      <c r="G269" s="26" t="n"/>
      <c r="H269" s="26" t="n"/>
      <c r="I269" s="26" t="n"/>
      <c r="J269" s="24" t="n"/>
      <c r="K269" s="24" t="n"/>
      <c r="L269" s="22">
        <f>IF(A269="","",IF(AND(F269="",E269=""),"",TODAY()-IF(F269="",E269,F269)))</f>
        <v/>
      </c>
      <c r="M269" s="22">
        <f>IF(OR(A269="",E269=""),"",TODAY()-E269)</f>
        <v/>
      </c>
      <c r="N269" s="22">
        <f>IF(OR(H269="",I269=""),"",I269-H269)</f>
        <v/>
      </c>
      <c r="O269" s="22">
        <f>IF(OR(F269="",G269=""),"",IF(G269-F269&gt;Settings!$B$8,"CRM activity, no buyer contact",""))</f>
        <v/>
      </c>
      <c r="P269" s="22">
        <f>IF(A269="","",IF(OR(C269="Closed won",C269="Closed lost"),"Closed",IF(L269="","Check dates",IF(L269&gt;=Settings!$B$5,"Likely dead",IF(L269&gt;=Settings!$B$4,"Dormant","Active")))))</f>
        <v/>
      </c>
      <c r="Q269" s="22">
        <f>IF(OR(P269="Dormant",P269="Likely dead"),ROUND(100*IFERROR(VLOOKUP(C269,Settings!$D$4:$E$8,2,FALSE),0.3)*MIN(1,N(D269)/Settings!$B$7)*IF(P269="Dormant",1-0.5*(L269-Settings!$B$4)/MAX(1,Settings!$B$5-Settings!$B$4),0.25),0),"")</f>
        <v/>
      </c>
      <c r="R269" s="22">
        <f>IF(P269="Dormant",IF(AND(N(D269)&gt;=Settings!$B$6,N(Q269)&gt;=40),"Re-engage now",IF(N(D269)&gt;=Settings!$B$6,"Investigate, then decide","Low value: batch or close")),IF(P269="Likely dead","Close out or recycle to nurture",IF(P269="Active","Leave: active",IF(P269="Check dates","Add dates",""))))</f>
        <v/>
      </c>
      <c r="S269" s="23">
        <f>IF(OR(R269="Re-engage now",R269="Investigate, then decide"),Q269+ROW()/1000000,"")</f>
        <v/>
      </c>
    </row>
    <row r="270">
      <c r="A270" s="24" t="n"/>
      <c r="B270" s="24" t="n"/>
      <c r="C270" s="24" t="n"/>
      <c r="D270" s="25" t="n"/>
      <c r="E270" s="26" t="n"/>
      <c r="F270" s="26" t="n"/>
      <c r="G270" s="26" t="n"/>
      <c r="H270" s="26" t="n"/>
      <c r="I270" s="26" t="n"/>
      <c r="J270" s="24" t="n"/>
      <c r="K270" s="24" t="n"/>
      <c r="L270" s="22">
        <f>IF(A270="","",IF(AND(F270="",E270=""),"",TODAY()-IF(F270="",E270,F270)))</f>
        <v/>
      </c>
      <c r="M270" s="22">
        <f>IF(OR(A270="",E270=""),"",TODAY()-E270)</f>
        <v/>
      </c>
      <c r="N270" s="22">
        <f>IF(OR(H270="",I270=""),"",I270-H270)</f>
        <v/>
      </c>
      <c r="O270" s="22">
        <f>IF(OR(F270="",G270=""),"",IF(G270-F270&gt;Settings!$B$8,"CRM activity, no buyer contact",""))</f>
        <v/>
      </c>
      <c r="P270" s="22">
        <f>IF(A270="","",IF(OR(C270="Closed won",C270="Closed lost"),"Closed",IF(L270="","Check dates",IF(L270&gt;=Settings!$B$5,"Likely dead",IF(L270&gt;=Settings!$B$4,"Dormant","Active")))))</f>
        <v/>
      </c>
      <c r="Q270" s="22">
        <f>IF(OR(P270="Dormant",P270="Likely dead"),ROUND(100*IFERROR(VLOOKUP(C270,Settings!$D$4:$E$8,2,FALSE),0.3)*MIN(1,N(D270)/Settings!$B$7)*IF(P270="Dormant",1-0.5*(L270-Settings!$B$4)/MAX(1,Settings!$B$5-Settings!$B$4),0.25),0),"")</f>
        <v/>
      </c>
      <c r="R270" s="22">
        <f>IF(P270="Dormant",IF(AND(N(D270)&gt;=Settings!$B$6,N(Q270)&gt;=40),"Re-engage now",IF(N(D270)&gt;=Settings!$B$6,"Investigate, then decide","Low value: batch or close")),IF(P270="Likely dead","Close out or recycle to nurture",IF(P270="Active","Leave: active",IF(P270="Check dates","Add dates",""))))</f>
        <v/>
      </c>
      <c r="S270" s="23">
        <f>IF(OR(R270="Re-engage now",R270="Investigate, then decide"),Q270+ROW()/1000000,"")</f>
        <v/>
      </c>
    </row>
    <row r="271">
      <c r="A271" s="24" t="n"/>
      <c r="B271" s="24" t="n"/>
      <c r="C271" s="24" t="n"/>
      <c r="D271" s="25" t="n"/>
      <c r="E271" s="26" t="n"/>
      <c r="F271" s="26" t="n"/>
      <c r="G271" s="26" t="n"/>
      <c r="H271" s="26" t="n"/>
      <c r="I271" s="26" t="n"/>
      <c r="J271" s="24" t="n"/>
      <c r="K271" s="24" t="n"/>
      <c r="L271" s="22">
        <f>IF(A271="","",IF(AND(F271="",E271=""),"",TODAY()-IF(F271="",E271,F271)))</f>
        <v/>
      </c>
      <c r="M271" s="22">
        <f>IF(OR(A271="",E271=""),"",TODAY()-E271)</f>
        <v/>
      </c>
      <c r="N271" s="22">
        <f>IF(OR(H271="",I271=""),"",I271-H271)</f>
        <v/>
      </c>
      <c r="O271" s="22">
        <f>IF(OR(F271="",G271=""),"",IF(G271-F271&gt;Settings!$B$8,"CRM activity, no buyer contact",""))</f>
        <v/>
      </c>
      <c r="P271" s="22">
        <f>IF(A271="","",IF(OR(C271="Closed won",C271="Closed lost"),"Closed",IF(L271="","Check dates",IF(L271&gt;=Settings!$B$5,"Likely dead",IF(L271&gt;=Settings!$B$4,"Dormant","Active")))))</f>
        <v/>
      </c>
      <c r="Q271" s="22">
        <f>IF(OR(P271="Dormant",P271="Likely dead"),ROUND(100*IFERROR(VLOOKUP(C271,Settings!$D$4:$E$8,2,FALSE),0.3)*MIN(1,N(D271)/Settings!$B$7)*IF(P271="Dormant",1-0.5*(L271-Settings!$B$4)/MAX(1,Settings!$B$5-Settings!$B$4),0.25),0),"")</f>
        <v/>
      </c>
      <c r="R271" s="22">
        <f>IF(P271="Dormant",IF(AND(N(D271)&gt;=Settings!$B$6,N(Q271)&gt;=40),"Re-engage now",IF(N(D271)&gt;=Settings!$B$6,"Investigate, then decide","Low value: batch or close")),IF(P271="Likely dead","Close out or recycle to nurture",IF(P271="Active","Leave: active",IF(P271="Check dates","Add dates",""))))</f>
        <v/>
      </c>
      <c r="S271" s="23">
        <f>IF(OR(R271="Re-engage now",R271="Investigate, then decide"),Q271+ROW()/1000000,"")</f>
        <v/>
      </c>
    </row>
    <row r="272">
      <c r="A272" s="24" t="n"/>
      <c r="B272" s="24" t="n"/>
      <c r="C272" s="24" t="n"/>
      <c r="D272" s="25" t="n"/>
      <c r="E272" s="26" t="n"/>
      <c r="F272" s="26" t="n"/>
      <c r="G272" s="26" t="n"/>
      <c r="H272" s="26" t="n"/>
      <c r="I272" s="26" t="n"/>
      <c r="J272" s="24" t="n"/>
      <c r="K272" s="24" t="n"/>
      <c r="L272" s="22">
        <f>IF(A272="","",IF(AND(F272="",E272=""),"",TODAY()-IF(F272="",E272,F272)))</f>
        <v/>
      </c>
      <c r="M272" s="22">
        <f>IF(OR(A272="",E272=""),"",TODAY()-E272)</f>
        <v/>
      </c>
      <c r="N272" s="22">
        <f>IF(OR(H272="",I272=""),"",I272-H272)</f>
        <v/>
      </c>
      <c r="O272" s="22">
        <f>IF(OR(F272="",G272=""),"",IF(G272-F272&gt;Settings!$B$8,"CRM activity, no buyer contact",""))</f>
        <v/>
      </c>
      <c r="P272" s="22">
        <f>IF(A272="","",IF(OR(C272="Closed won",C272="Closed lost"),"Closed",IF(L272="","Check dates",IF(L272&gt;=Settings!$B$5,"Likely dead",IF(L272&gt;=Settings!$B$4,"Dormant","Active")))))</f>
        <v/>
      </c>
      <c r="Q272" s="22">
        <f>IF(OR(P272="Dormant",P272="Likely dead"),ROUND(100*IFERROR(VLOOKUP(C272,Settings!$D$4:$E$8,2,FALSE),0.3)*MIN(1,N(D272)/Settings!$B$7)*IF(P272="Dormant",1-0.5*(L272-Settings!$B$4)/MAX(1,Settings!$B$5-Settings!$B$4),0.25),0),"")</f>
        <v/>
      </c>
      <c r="R272" s="22">
        <f>IF(P272="Dormant",IF(AND(N(D272)&gt;=Settings!$B$6,N(Q272)&gt;=40),"Re-engage now",IF(N(D272)&gt;=Settings!$B$6,"Investigate, then decide","Low value: batch or close")),IF(P272="Likely dead","Close out or recycle to nurture",IF(P272="Active","Leave: active",IF(P272="Check dates","Add dates",""))))</f>
        <v/>
      </c>
      <c r="S272" s="23">
        <f>IF(OR(R272="Re-engage now",R272="Investigate, then decide"),Q272+ROW()/1000000,"")</f>
        <v/>
      </c>
    </row>
    <row r="273">
      <c r="A273" s="24" t="n"/>
      <c r="B273" s="24" t="n"/>
      <c r="C273" s="24" t="n"/>
      <c r="D273" s="25" t="n"/>
      <c r="E273" s="26" t="n"/>
      <c r="F273" s="26" t="n"/>
      <c r="G273" s="26" t="n"/>
      <c r="H273" s="26" t="n"/>
      <c r="I273" s="26" t="n"/>
      <c r="J273" s="24" t="n"/>
      <c r="K273" s="24" t="n"/>
      <c r="L273" s="22">
        <f>IF(A273="","",IF(AND(F273="",E273=""),"",TODAY()-IF(F273="",E273,F273)))</f>
        <v/>
      </c>
      <c r="M273" s="22">
        <f>IF(OR(A273="",E273=""),"",TODAY()-E273)</f>
        <v/>
      </c>
      <c r="N273" s="22">
        <f>IF(OR(H273="",I273=""),"",I273-H273)</f>
        <v/>
      </c>
      <c r="O273" s="22">
        <f>IF(OR(F273="",G273=""),"",IF(G273-F273&gt;Settings!$B$8,"CRM activity, no buyer contact",""))</f>
        <v/>
      </c>
      <c r="P273" s="22">
        <f>IF(A273="","",IF(OR(C273="Closed won",C273="Closed lost"),"Closed",IF(L273="","Check dates",IF(L273&gt;=Settings!$B$5,"Likely dead",IF(L273&gt;=Settings!$B$4,"Dormant","Active")))))</f>
        <v/>
      </c>
      <c r="Q273" s="22">
        <f>IF(OR(P273="Dormant",P273="Likely dead"),ROUND(100*IFERROR(VLOOKUP(C273,Settings!$D$4:$E$8,2,FALSE),0.3)*MIN(1,N(D273)/Settings!$B$7)*IF(P273="Dormant",1-0.5*(L273-Settings!$B$4)/MAX(1,Settings!$B$5-Settings!$B$4),0.25),0),"")</f>
        <v/>
      </c>
      <c r="R273" s="22">
        <f>IF(P273="Dormant",IF(AND(N(D273)&gt;=Settings!$B$6,N(Q273)&gt;=40),"Re-engage now",IF(N(D273)&gt;=Settings!$B$6,"Investigate, then decide","Low value: batch or close")),IF(P273="Likely dead","Close out or recycle to nurture",IF(P273="Active","Leave: active",IF(P273="Check dates","Add dates",""))))</f>
        <v/>
      </c>
      <c r="S273" s="23">
        <f>IF(OR(R273="Re-engage now",R273="Investigate, then decide"),Q273+ROW()/1000000,"")</f>
        <v/>
      </c>
    </row>
    <row r="274">
      <c r="A274" s="24" t="n"/>
      <c r="B274" s="24" t="n"/>
      <c r="C274" s="24" t="n"/>
      <c r="D274" s="25" t="n"/>
      <c r="E274" s="26" t="n"/>
      <c r="F274" s="26" t="n"/>
      <c r="G274" s="26" t="n"/>
      <c r="H274" s="26" t="n"/>
      <c r="I274" s="26" t="n"/>
      <c r="J274" s="24" t="n"/>
      <c r="K274" s="24" t="n"/>
      <c r="L274" s="22">
        <f>IF(A274="","",IF(AND(F274="",E274=""),"",TODAY()-IF(F274="",E274,F274)))</f>
        <v/>
      </c>
      <c r="M274" s="22">
        <f>IF(OR(A274="",E274=""),"",TODAY()-E274)</f>
        <v/>
      </c>
      <c r="N274" s="22">
        <f>IF(OR(H274="",I274=""),"",I274-H274)</f>
        <v/>
      </c>
      <c r="O274" s="22">
        <f>IF(OR(F274="",G274=""),"",IF(G274-F274&gt;Settings!$B$8,"CRM activity, no buyer contact",""))</f>
        <v/>
      </c>
      <c r="P274" s="22">
        <f>IF(A274="","",IF(OR(C274="Closed won",C274="Closed lost"),"Closed",IF(L274="","Check dates",IF(L274&gt;=Settings!$B$5,"Likely dead",IF(L274&gt;=Settings!$B$4,"Dormant","Active")))))</f>
        <v/>
      </c>
      <c r="Q274" s="22">
        <f>IF(OR(P274="Dormant",P274="Likely dead"),ROUND(100*IFERROR(VLOOKUP(C274,Settings!$D$4:$E$8,2,FALSE),0.3)*MIN(1,N(D274)/Settings!$B$7)*IF(P274="Dormant",1-0.5*(L274-Settings!$B$4)/MAX(1,Settings!$B$5-Settings!$B$4),0.25),0),"")</f>
        <v/>
      </c>
      <c r="R274" s="22">
        <f>IF(P274="Dormant",IF(AND(N(D274)&gt;=Settings!$B$6,N(Q274)&gt;=40),"Re-engage now",IF(N(D274)&gt;=Settings!$B$6,"Investigate, then decide","Low value: batch or close")),IF(P274="Likely dead","Close out or recycle to nurture",IF(P274="Active","Leave: active",IF(P274="Check dates","Add dates",""))))</f>
        <v/>
      </c>
      <c r="S274" s="23">
        <f>IF(OR(R274="Re-engage now",R274="Investigate, then decide"),Q274+ROW()/1000000,"")</f>
        <v/>
      </c>
    </row>
    <row r="275">
      <c r="A275" s="24" t="n"/>
      <c r="B275" s="24" t="n"/>
      <c r="C275" s="24" t="n"/>
      <c r="D275" s="25" t="n"/>
      <c r="E275" s="26" t="n"/>
      <c r="F275" s="26" t="n"/>
      <c r="G275" s="26" t="n"/>
      <c r="H275" s="26" t="n"/>
      <c r="I275" s="26" t="n"/>
      <c r="J275" s="24" t="n"/>
      <c r="K275" s="24" t="n"/>
      <c r="L275" s="22">
        <f>IF(A275="","",IF(AND(F275="",E275=""),"",TODAY()-IF(F275="",E275,F275)))</f>
        <v/>
      </c>
      <c r="M275" s="22">
        <f>IF(OR(A275="",E275=""),"",TODAY()-E275)</f>
        <v/>
      </c>
      <c r="N275" s="22">
        <f>IF(OR(H275="",I275=""),"",I275-H275)</f>
        <v/>
      </c>
      <c r="O275" s="22">
        <f>IF(OR(F275="",G275=""),"",IF(G275-F275&gt;Settings!$B$8,"CRM activity, no buyer contact",""))</f>
        <v/>
      </c>
      <c r="P275" s="22">
        <f>IF(A275="","",IF(OR(C275="Closed won",C275="Closed lost"),"Closed",IF(L275="","Check dates",IF(L275&gt;=Settings!$B$5,"Likely dead",IF(L275&gt;=Settings!$B$4,"Dormant","Active")))))</f>
        <v/>
      </c>
      <c r="Q275" s="22">
        <f>IF(OR(P275="Dormant",P275="Likely dead"),ROUND(100*IFERROR(VLOOKUP(C275,Settings!$D$4:$E$8,2,FALSE),0.3)*MIN(1,N(D275)/Settings!$B$7)*IF(P275="Dormant",1-0.5*(L275-Settings!$B$4)/MAX(1,Settings!$B$5-Settings!$B$4),0.25),0),"")</f>
        <v/>
      </c>
      <c r="R275" s="22">
        <f>IF(P275="Dormant",IF(AND(N(D275)&gt;=Settings!$B$6,N(Q275)&gt;=40),"Re-engage now",IF(N(D275)&gt;=Settings!$B$6,"Investigate, then decide","Low value: batch or close")),IF(P275="Likely dead","Close out or recycle to nurture",IF(P275="Active","Leave: active",IF(P275="Check dates","Add dates",""))))</f>
        <v/>
      </c>
      <c r="S275" s="23">
        <f>IF(OR(R275="Re-engage now",R275="Investigate, then decide"),Q275+ROW()/1000000,"")</f>
        <v/>
      </c>
    </row>
    <row r="276">
      <c r="A276" s="24" t="n"/>
      <c r="B276" s="24" t="n"/>
      <c r="C276" s="24" t="n"/>
      <c r="D276" s="25" t="n"/>
      <c r="E276" s="26" t="n"/>
      <c r="F276" s="26" t="n"/>
      <c r="G276" s="26" t="n"/>
      <c r="H276" s="26" t="n"/>
      <c r="I276" s="26" t="n"/>
      <c r="J276" s="24" t="n"/>
      <c r="K276" s="24" t="n"/>
      <c r="L276" s="22">
        <f>IF(A276="","",IF(AND(F276="",E276=""),"",TODAY()-IF(F276="",E276,F276)))</f>
        <v/>
      </c>
      <c r="M276" s="22">
        <f>IF(OR(A276="",E276=""),"",TODAY()-E276)</f>
        <v/>
      </c>
      <c r="N276" s="22">
        <f>IF(OR(H276="",I276=""),"",I276-H276)</f>
        <v/>
      </c>
      <c r="O276" s="22">
        <f>IF(OR(F276="",G276=""),"",IF(G276-F276&gt;Settings!$B$8,"CRM activity, no buyer contact",""))</f>
        <v/>
      </c>
      <c r="P276" s="22">
        <f>IF(A276="","",IF(OR(C276="Closed won",C276="Closed lost"),"Closed",IF(L276="","Check dates",IF(L276&gt;=Settings!$B$5,"Likely dead",IF(L276&gt;=Settings!$B$4,"Dormant","Active")))))</f>
        <v/>
      </c>
      <c r="Q276" s="22">
        <f>IF(OR(P276="Dormant",P276="Likely dead"),ROUND(100*IFERROR(VLOOKUP(C276,Settings!$D$4:$E$8,2,FALSE),0.3)*MIN(1,N(D276)/Settings!$B$7)*IF(P276="Dormant",1-0.5*(L276-Settings!$B$4)/MAX(1,Settings!$B$5-Settings!$B$4),0.25),0),"")</f>
        <v/>
      </c>
      <c r="R276" s="22">
        <f>IF(P276="Dormant",IF(AND(N(D276)&gt;=Settings!$B$6,N(Q276)&gt;=40),"Re-engage now",IF(N(D276)&gt;=Settings!$B$6,"Investigate, then decide","Low value: batch or close")),IF(P276="Likely dead","Close out or recycle to nurture",IF(P276="Active","Leave: active",IF(P276="Check dates","Add dates",""))))</f>
        <v/>
      </c>
      <c r="S276" s="23">
        <f>IF(OR(R276="Re-engage now",R276="Investigate, then decide"),Q276+ROW()/1000000,"")</f>
        <v/>
      </c>
    </row>
    <row r="277">
      <c r="A277" s="24" t="n"/>
      <c r="B277" s="24" t="n"/>
      <c r="C277" s="24" t="n"/>
      <c r="D277" s="25" t="n"/>
      <c r="E277" s="26" t="n"/>
      <c r="F277" s="26" t="n"/>
      <c r="G277" s="26" t="n"/>
      <c r="H277" s="26" t="n"/>
      <c r="I277" s="26" t="n"/>
      <c r="J277" s="24" t="n"/>
      <c r="K277" s="24" t="n"/>
      <c r="L277" s="22">
        <f>IF(A277="","",IF(AND(F277="",E277=""),"",TODAY()-IF(F277="",E277,F277)))</f>
        <v/>
      </c>
      <c r="M277" s="22">
        <f>IF(OR(A277="",E277=""),"",TODAY()-E277)</f>
        <v/>
      </c>
      <c r="N277" s="22">
        <f>IF(OR(H277="",I277=""),"",I277-H277)</f>
        <v/>
      </c>
      <c r="O277" s="22">
        <f>IF(OR(F277="",G277=""),"",IF(G277-F277&gt;Settings!$B$8,"CRM activity, no buyer contact",""))</f>
        <v/>
      </c>
      <c r="P277" s="22">
        <f>IF(A277="","",IF(OR(C277="Closed won",C277="Closed lost"),"Closed",IF(L277="","Check dates",IF(L277&gt;=Settings!$B$5,"Likely dead",IF(L277&gt;=Settings!$B$4,"Dormant","Active")))))</f>
        <v/>
      </c>
      <c r="Q277" s="22">
        <f>IF(OR(P277="Dormant",P277="Likely dead"),ROUND(100*IFERROR(VLOOKUP(C277,Settings!$D$4:$E$8,2,FALSE),0.3)*MIN(1,N(D277)/Settings!$B$7)*IF(P277="Dormant",1-0.5*(L277-Settings!$B$4)/MAX(1,Settings!$B$5-Settings!$B$4),0.25),0),"")</f>
        <v/>
      </c>
      <c r="R277" s="22">
        <f>IF(P277="Dormant",IF(AND(N(D277)&gt;=Settings!$B$6,N(Q277)&gt;=40),"Re-engage now",IF(N(D277)&gt;=Settings!$B$6,"Investigate, then decide","Low value: batch or close")),IF(P277="Likely dead","Close out or recycle to nurture",IF(P277="Active","Leave: active",IF(P277="Check dates","Add dates",""))))</f>
        <v/>
      </c>
      <c r="S277" s="23">
        <f>IF(OR(R277="Re-engage now",R277="Investigate, then decide"),Q277+ROW()/1000000,"")</f>
        <v/>
      </c>
    </row>
    <row r="278">
      <c r="A278" s="24" t="n"/>
      <c r="B278" s="24" t="n"/>
      <c r="C278" s="24" t="n"/>
      <c r="D278" s="25" t="n"/>
      <c r="E278" s="26" t="n"/>
      <c r="F278" s="26" t="n"/>
      <c r="G278" s="26" t="n"/>
      <c r="H278" s="26" t="n"/>
      <c r="I278" s="26" t="n"/>
      <c r="J278" s="24" t="n"/>
      <c r="K278" s="24" t="n"/>
      <c r="L278" s="22">
        <f>IF(A278="","",IF(AND(F278="",E278=""),"",TODAY()-IF(F278="",E278,F278)))</f>
        <v/>
      </c>
      <c r="M278" s="22">
        <f>IF(OR(A278="",E278=""),"",TODAY()-E278)</f>
        <v/>
      </c>
      <c r="N278" s="22">
        <f>IF(OR(H278="",I278=""),"",I278-H278)</f>
        <v/>
      </c>
      <c r="O278" s="22">
        <f>IF(OR(F278="",G278=""),"",IF(G278-F278&gt;Settings!$B$8,"CRM activity, no buyer contact",""))</f>
        <v/>
      </c>
      <c r="P278" s="22">
        <f>IF(A278="","",IF(OR(C278="Closed won",C278="Closed lost"),"Closed",IF(L278="","Check dates",IF(L278&gt;=Settings!$B$5,"Likely dead",IF(L278&gt;=Settings!$B$4,"Dormant","Active")))))</f>
        <v/>
      </c>
      <c r="Q278" s="22">
        <f>IF(OR(P278="Dormant",P278="Likely dead"),ROUND(100*IFERROR(VLOOKUP(C278,Settings!$D$4:$E$8,2,FALSE),0.3)*MIN(1,N(D278)/Settings!$B$7)*IF(P278="Dormant",1-0.5*(L278-Settings!$B$4)/MAX(1,Settings!$B$5-Settings!$B$4),0.25),0),"")</f>
        <v/>
      </c>
      <c r="R278" s="22">
        <f>IF(P278="Dormant",IF(AND(N(D278)&gt;=Settings!$B$6,N(Q278)&gt;=40),"Re-engage now",IF(N(D278)&gt;=Settings!$B$6,"Investigate, then decide","Low value: batch or close")),IF(P278="Likely dead","Close out or recycle to nurture",IF(P278="Active","Leave: active",IF(P278="Check dates","Add dates",""))))</f>
        <v/>
      </c>
      <c r="S278" s="23">
        <f>IF(OR(R278="Re-engage now",R278="Investigate, then decide"),Q278+ROW()/1000000,"")</f>
        <v/>
      </c>
    </row>
    <row r="279">
      <c r="A279" s="24" t="n"/>
      <c r="B279" s="24" t="n"/>
      <c r="C279" s="24" t="n"/>
      <c r="D279" s="25" t="n"/>
      <c r="E279" s="26" t="n"/>
      <c r="F279" s="26" t="n"/>
      <c r="G279" s="26" t="n"/>
      <c r="H279" s="26" t="n"/>
      <c r="I279" s="26" t="n"/>
      <c r="J279" s="24" t="n"/>
      <c r="K279" s="24" t="n"/>
      <c r="L279" s="22">
        <f>IF(A279="","",IF(AND(F279="",E279=""),"",TODAY()-IF(F279="",E279,F279)))</f>
        <v/>
      </c>
      <c r="M279" s="22">
        <f>IF(OR(A279="",E279=""),"",TODAY()-E279)</f>
        <v/>
      </c>
      <c r="N279" s="22">
        <f>IF(OR(H279="",I279=""),"",I279-H279)</f>
        <v/>
      </c>
      <c r="O279" s="22">
        <f>IF(OR(F279="",G279=""),"",IF(G279-F279&gt;Settings!$B$8,"CRM activity, no buyer contact",""))</f>
        <v/>
      </c>
      <c r="P279" s="22">
        <f>IF(A279="","",IF(OR(C279="Closed won",C279="Closed lost"),"Closed",IF(L279="","Check dates",IF(L279&gt;=Settings!$B$5,"Likely dead",IF(L279&gt;=Settings!$B$4,"Dormant","Active")))))</f>
        <v/>
      </c>
      <c r="Q279" s="22">
        <f>IF(OR(P279="Dormant",P279="Likely dead"),ROUND(100*IFERROR(VLOOKUP(C279,Settings!$D$4:$E$8,2,FALSE),0.3)*MIN(1,N(D279)/Settings!$B$7)*IF(P279="Dormant",1-0.5*(L279-Settings!$B$4)/MAX(1,Settings!$B$5-Settings!$B$4),0.25),0),"")</f>
        <v/>
      </c>
      <c r="R279" s="22">
        <f>IF(P279="Dormant",IF(AND(N(D279)&gt;=Settings!$B$6,N(Q279)&gt;=40),"Re-engage now",IF(N(D279)&gt;=Settings!$B$6,"Investigate, then decide","Low value: batch or close")),IF(P279="Likely dead","Close out or recycle to nurture",IF(P279="Active","Leave: active",IF(P279="Check dates","Add dates",""))))</f>
        <v/>
      </c>
      <c r="S279" s="23">
        <f>IF(OR(R279="Re-engage now",R279="Investigate, then decide"),Q279+ROW()/1000000,"")</f>
        <v/>
      </c>
    </row>
    <row r="280">
      <c r="A280" s="24" t="n"/>
      <c r="B280" s="24" t="n"/>
      <c r="C280" s="24" t="n"/>
      <c r="D280" s="25" t="n"/>
      <c r="E280" s="26" t="n"/>
      <c r="F280" s="26" t="n"/>
      <c r="G280" s="26" t="n"/>
      <c r="H280" s="26" t="n"/>
      <c r="I280" s="26" t="n"/>
      <c r="J280" s="24" t="n"/>
      <c r="K280" s="24" t="n"/>
      <c r="L280" s="22">
        <f>IF(A280="","",IF(AND(F280="",E280=""),"",TODAY()-IF(F280="",E280,F280)))</f>
        <v/>
      </c>
      <c r="M280" s="22">
        <f>IF(OR(A280="",E280=""),"",TODAY()-E280)</f>
        <v/>
      </c>
      <c r="N280" s="22">
        <f>IF(OR(H280="",I280=""),"",I280-H280)</f>
        <v/>
      </c>
      <c r="O280" s="22">
        <f>IF(OR(F280="",G280=""),"",IF(G280-F280&gt;Settings!$B$8,"CRM activity, no buyer contact",""))</f>
        <v/>
      </c>
      <c r="P280" s="22">
        <f>IF(A280="","",IF(OR(C280="Closed won",C280="Closed lost"),"Closed",IF(L280="","Check dates",IF(L280&gt;=Settings!$B$5,"Likely dead",IF(L280&gt;=Settings!$B$4,"Dormant","Active")))))</f>
        <v/>
      </c>
      <c r="Q280" s="22">
        <f>IF(OR(P280="Dormant",P280="Likely dead"),ROUND(100*IFERROR(VLOOKUP(C280,Settings!$D$4:$E$8,2,FALSE),0.3)*MIN(1,N(D280)/Settings!$B$7)*IF(P280="Dormant",1-0.5*(L280-Settings!$B$4)/MAX(1,Settings!$B$5-Settings!$B$4),0.25),0),"")</f>
        <v/>
      </c>
      <c r="R280" s="22">
        <f>IF(P280="Dormant",IF(AND(N(D280)&gt;=Settings!$B$6,N(Q280)&gt;=40),"Re-engage now",IF(N(D280)&gt;=Settings!$B$6,"Investigate, then decide","Low value: batch or close")),IF(P280="Likely dead","Close out or recycle to nurture",IF(P280="Active","Leave: active",IF(P280="Check dates","Add dates",""))))</f>
        <v/>
      </c>
      <c r="S280" s="23">
        <f>IF(OR(R280="Re-engage now",R280="Investigate, then decide"),Q280+ROW()/1000000,"")</f>
        <v/>
      </c>
    </row>
    <row r="281">
      <c r="A281" s="24" t="n"/>
      <c r="B281" s="24" t="n"/>
      <c r="C281" s="24" t="n"/>
      <c r="D281" s="25" t="n"/>
      <c r="E281" s="26" t="n"/>
      <c r="F281" s="26" t="n"/>
      <c r="G281" s="26" t="n"/>
      <c r="H281" s="26" t="n"/>
      <c r="I281" s="26" t="n"/>
      <c r="J281" s="24" t="n"/>
      <c r="K281" s="24" t="n"/>
      <c r="L281" s="22">
        <f>IF(A281="","",IF(AND(F281="",E281=""),"",TODAY()-IF(F281="",E281,F281)))</f>
        <v/>
      </c>
      <c r="M281" s="22">
        <f>IF(OR(A281="",E281=""),"",TODAY()-E281)</f>
        <v/>
      </c>
      <c r="N281" s="22">
        <f>IF(OR(H281="",I281=""),"",I281-H281)</f>
        <v/>
      </c>
      <c r="O281" s="22">
        <f>IF(OR(F281="",G281=""),"",IF(G281-F281&gt;Settings!$B$8,"CRM activity, no buyer contact",""))</f>
        <v/>
      </c>
      <c r="P281" s="22">
        <f>IF(A281="","",IF(OR(C281="Closed won",C281="Closed lost"),"Closed",IF(L281="","Check dates",IF(L281&gt;=Settings!$B$5,"Likely dead",IF(L281&gt;=Settings!$B$4,"Dormant","Active")))))</f>
        <v/>
      </c>
      <c r="Q281" s="22">
        <f>IF(OR(P281="Dormant",P281="Likely dead"),ROUND(100*IFERROR(VLOOKUP(C281,Settings!$D$4:$E$8,2,FALSE),0.3)*MIN(1,N(D281)/Settings!$B$7)*IF(P281="Dormant",1-0.5*(L281-Settings!$B$4)/MAX(1,Settings!$B$5-Settings!$B$4),0.25),0),"")</f>
        <v/>
      </c>
      <c r="R281" s="22">
        <f>IF(P281="Dormant",IF(AND(N(D281)&gt;=Settings!$B$6,N(Q281)&gt;=40),"Re-engage now",IF(N(D281)&gt;=Settings!$B$6,"Investigate, then decide","Low value: batch or close")),IF(P281="Likely dead","Close out or recycle to nurture",IF(P281="Active","Leave: active",IF(P281="Check dates","Add dates",""))))</f>
        <v/>
      </c>
      <c r="S281" s="23">
        <f>IF(OR(R281="Re-engage now",R281="Investigate, then decide"),Q281+ROW()/1000000,"")</f>
        <v/>
      </c>
    </row>
    <row r="282">
      <c r="A282" s="24" t="n"/>
      <c r="B282" s="24" t="n"/>
      <c r="C282" s="24" t="n"/>
      <c r="D282" s="25" t="n"/>
      <c r="E282" s="26" t="n"/>
      <c r="F282" s="26" t="n"/>
      <c r="G282" s="26" t="n"/>
      <c r="H282" s="26" t="n"/>
      <c r="I282" s="26" t="n"/>
      <c r="J282" s="24" t="n"/>
      <c r="K282" s="24" t="n"/>
      <c r="L282" s="22">
        <f>IF(A282="","",IF(AND(F282="",E282=""),"",TODAY()-IF(F282="",E282,F282)))</f>
        <v/>
      </c>
      <c r="M282" s="22">
        <f>IF(OR(A282="",E282=""),"",TODAY()-E282)</f>
        <v/>
      </c>
      <c r="N282" s="22">
        <f>IF(OR(H282="",I282=""),"",I282-H282)</f>
        <v/>
      </c>
      <c r="O282" s="22">
        <f>IF(OR(F282="",G282=""),"",IF(G282-F282&gt;Settings!$B$8,"CRM activity, no buyer contact",""))</f>
        <v/>
      </c>
      <c r="P282" s="22">
        <f>IF(A282="","",IF(OR(C282="Closed won",C282="Closed lost"),"Closed",IF(L282="","Check dates",IF(L282&gt;=Settings!$B$5,"Likely dead",IF(L282&gt;=Settings!$B$4,"Dormant","Active")))))</f>
        <v/>
      </c>
      <c r="Q282" s="22">
        <f>IF(OR(P282="Dormant",P282="Likely dead"),ROUND(100*IFERROR(VLOOKUP(C282,Settings!$D$4:$E$8,2,FALSE),0.3)*MIN(1,N(D282)/Settings!$B$7)*IF(P282="Dormant",1-0.5*(L282-Settings!$B$4)/MAX(1,Settings!$B$5-Settings!$B$4),0.25),0),"")</f>
        <v/>
      </c>
      <c r="R282" s="22">
        <f>IF(P282="Dormant",IF(AND(N(D282)&gt;=Settings!$B$6,N(Q282)&gt;=40),"Re-engage now",IF(N(D282)&gt;=Settings!$B$6,"Investigate, then decide","Low value: batch or close")),IF(P282="Likely dead","Close out or recycle to nurture",IF(P282="Active","Leave: active",IF(P282="Check dates","Add dates",""))))</f>
        <v/>
      </c>
      <c r="S282" s="23">
        <f>IF(OR(R282="Re-engage now",R282="Investigate, then decide"),Q282+ROW()/1000000,"")</f>
        <v/>
      </c>
    </row>
    <row r="283">
      <c r="A283" s="24" t="n"/>
      <c r="B283" s="24" t="n"/>
      <c r="C283" s="24" t="n"/>
      <c r="D283" s="25" t="n"/>
      <c r="E283" s="26" t="n"/>
      <c r="F283" s="26" t="n"/>
      <c r="G283" s="26" t="n"/>
      <c r="H283" s="26" t="n"/>
      <c r="I283" s="26" t="n"/>
      <c r="J283" s="24" t="n"/>
      <c r="K283" s="24" t="n"/>
      <c r="L283" s="22">
        <f>IF(A283="","",IF(AND(F283="",E283=""),"",TODAY()-IF(F283="",E283,F283)))</f>
        <v/>
      </c>
      <c r="M283" s="22">
        <f>IF(OR(A283="",E283=""),"",TODAY()-E283)</f>
        <v/>
      </c>
      <c r="N283" s="22">
        <f>IF(OR(H283="",I283=""),"",I283-H283)</f>
        <v/>
      </c>
      <c r="O283" s="22">
        <f>IF(OR(F283="",G283=""),"",IF(G283-F283&gt;Settings!$B$8,"CRM activity, no buyer contact",""))</f>
        <v/>
      </c>
      <c r="P283" s="22">
        <f>IF(A283="","",IF(OR(C283="Closed won",C283="Closed lost"),"Closed",IF(L283="","Check dates",IF(L283&gt;=Settings!$B$5,"Likely dead",IF(L283&gt;=Settings!$B$4,"Dormant","Active")))))</f>
        <v/>
      </c>
      <c r="Q283" s="22">
        <f>IF(OR(P283="Dormant",P283="Likely dead"),ROUND(100*IFERROR(VLOOKUP(C283,Settings!$D$4:$E$8,2,FALSE),0.3)*MIN(1,N(D283)/Settings!$B$7)*IF(P283="Dormant",1-0.5*(L283-Settings!$B$4)/MAX(1,Settings!$B$5-Settings!$B$4),0.25),0),"")</f>
        <v/>
      </c>
      <c r="R283" s="22">
        <f>IF(P283="Dormant",IF(AND(N(D283)&gt;=Settings!$B$6,N(Q283)&gt;=40),"Re-engage now",IF(N(D283)&gt;=Settings!$B$6,"Investigate, then decide","Low value: batch or close")),IF(P283="Likely dead","Close out or recycle to nurture",IF(P283="Active","Leave: active",IF(P283="Check dates","Add dates",""))))</f>
        <v/>
      </c>
      <c r="S283" s="23">
        <f>IF(OR(R283="Re-engage now",R283="Investigate, then decide"),Q283+ROW()/1000000,"")</f>
        <v/>
      </c>
    </row>
    <row r="284">
      <c r="A284" s="24" t="n"/>
      <c r="B284" s="24" t="n"/>
      <c r="C284" s="24" t="n"/>
      <c r="D284" s="25" t="n"/>
      <c r="E284" s="26" t="n"/>
      <c r="F284" s="26" t="n"/>
      <c r="G284" s="26" t="n"/>
      <c r="H284" s="26" t="n"/>
      <c r="I284" s="26" t="n"/>
      <c r="J284" s="24" t="n"/>
      <c r="K284" s="24" t="n"/>
      <c r="L284" s="22">
        <f>IF(A284="","",IF(AND(F284="",E284=""),"",TODAY()-IF(F284="",E284,F284)))</f>
        <v/>
      </c>
      <c r="M284" s="22">
        <f>IF(OR(A284="",E284=""),"",TODAY()-E284)</f>
        <v/>
      </c>
      <c r="N284" s="22">
        <f>IF(OR(H284="",I284=""),"",I284-H284)</f>
        <v/>
      </c>
      <c r="O284" s="22">
        <f>IF(OR(F284="",G284=""),"",IF(G284-F284&gt;Settings!$B$8,"CRM activity, no buyer contact",""))</f>
        <v/>
      </c>
      <c r="P284" s="22">
        <f>IF(A284="","",IF(OR(C284="Closed won",C284="Closed lost"),"Closed",IF(L284="","Check dates",IF(L284&gt;=Settings!$B$5,"Likely dead",IF(L284&gt;=Settings!$B$4,"Dormant","Active")))))</f>
        <v/>
      </c>
      <c r="Q284" s="22">
        <f>IF(OR(P284="Dormant",P284="Likely dead"),ROUND(100*IFERROR(VLOOKUP(C284,Settings!$D$4:$E$8,2,FALSE),0.3)*MIN(1,N(D284)/Settings!$B$7)*IF(P284="Dormant",1-0.5*(L284-Settings!$B$4)/MAX(1,Settings!$B$5-Settings!$B$4),0.25),0),"")</f>
        <v/>
      </c>
      <c r="R284" s="22">
        <f>IF(P284="Dormant",IF(AND(N(D284)&gt;=Settings!$B$6,N(Q284)&gt;=40),"Re-engage now",IF(N(D284)&gt;=Settings!$B$6,"Investigate, then decide","Low value: batch or close")),IF(P284="Likely dead","Close out or recycle to nurture",IF(P284="Active","Leave: active",IF(P284="Check dates","Add dates",""))))</f>
        <v/>
      </c>
      <c r="S284" s="23">
        <f>IF(OR(R284="Re-engage now",R284="Investigate, then decide"),Q284+ROW()/1000000,"")</f>
        <v/>
      </c>
    </row>
    <row r="285">
      <c r="A285" s="24" t="n"/>
      <c r="B285" s="24" t="n"/>
      <c r="C285" s="24" t="n"/>
      <c r="D285" s="25" t="n"/>
      <c r="E285" s="26" t="n"/>
      <c r="F285" s="26" t="n"/>
      <c r="G285" s="26" t="n"/>
      <c r="H285" s="26" t="n"/>
      <c r="I285" s="26" t="n"/>
      <c r="J285" s="24" t="n"/>
      <c r="K285" s="24" t="n"/>
      <c r="L285" s="22">
        <f>IF(A285="","",IF(AND(F285="",E285=""),"",TODAY()-IF(F285="",E285,F285)))</f>
        <v/>
      </c>
      <c r="M285" s="22">
        <f>IF(OR(A285="",E285=""),"",TODAY()-E285)</f>
        <v/>
      </c>
      <c r="N285" s="22">
        <f>IF(OR(H285="",I285=""),"",I285-H285)</f>
        <v/>
      </c>
      <c r="O285" s="22">
        <f>IF(OR(F285="",G285=""),"",IF(G285-F285&gt;Settings!$B$8,"CRM activity, no buyer contact",""))</f>
        <v/>
      </c>
      <c r="P285" s="22">
        <f>IF(A285="","",IF(OR(C285="Closed won",C285="Closed lost"),"Closed",IF(L285="","Check dates",IF(L285&gt;=Settings!$B$5,"Likely dead",IF(L285&gt;=Settings!$B$4,"Dormant","Active")))))</f>
        <v/>
      </c>
      <c r="Q285" s="22">
        <f>IF(OR(P285="Dormant",P285="Likely dead"),ROUND(100*IFERROR(VLOOKUP(C285,Settings!$D$4:$E$8,2,FALSE),0.3)*MIN(1,N(D285)/Settings!$B$7)*IF(P285="Dormant",1-0.5*(L285-Settings!$B$4)/MAX(1,Settings!$B$5-Settings!$B$4),0.25),0),"")</f>
        <v/>
      </c>
      <c r="R285" s="22">
        <f>IF(P285="Dormant",IF(AND(N(D285)&gt;=Settings!$B$6,N(Q285)&gt;=40),"Re-engage now",IF(N(D285)&gt;=Settings!$B$6,"Investigate, then decide","Low value: batch or close")),IF(P285="Likely dead","Close out or recycle to nurture",IF(P285="Active","Leave: active",IF(P285="Check dates","Add dates",""))))</f>
        <v/>
      </c>
      <c r="S285" s="23">
        <f>IF(OR(R285="Re-engage now",R285="Investigate, then decide"),Q285+ROW()/1000000,"")</f>
        <v/>
      </c>
    </row>
    <row r="286">
      <c r="A286" s="24" t="n"/>
      <c r="B286" s="24" t="n"/>
      <c r="C286" s="24" t="n"/>
      <c r="D286" s="25" t="n"/>
      <c r="E286" s="26" t="n"/>
      <c r="F286" s="26" t="n"/>
      <c r="G286" s="26" t="n"/>
      <c r="H286" s="26" t="n"/>
      <c r="I286" s="26" t="n"/>
      <c r="J286" s="24" t="n"/>
      <c r="K286" s="24" t="n"/>
      <c r="L286" s="22">
        <f>IF(A286="","",IF(AND(F286="",E286=""),"",TODAY()-IF(F286="",E286,F286)))</f>
        <v/>
      </c>
      <c r="M286" s="22">
        <f>IF(OR(A286="",E286=""),"",TODAY()-E286)</f>
        <v/>
      </c>
      <c r="N286" s="22">
        <f>IF(OR(H286="",I286=""),"",I286-H286)</f>
        <v/>
      </c>
      <c r="O286" s="22">
        <f>IF(OR(F286="",G286=""),"",IF(G286-F286&gt;Settings!$B$8,"CRM activity, no buyer contact",""))</f>
        <v/>
      </c>
      <c r="P286" s="22">
        <f>IF(A286="","",IF(OR(C286="Closed won",C286="Closed lost"),"Closed",IF(L286="","Check dates",IF(L286&gt;=Settings!$B$5,"Likely dead",IF(L286&gt;=Settings!$B$4,"Dormant","Active")))))</f>
        <v/>
      </c>
      <c r="Q286" s="22">
        <f>IF(OR(P286="Dormant",P286="Likely dead"),ROUND(100*IFERROR(VLOOKUP(C286,Settings!$D$4:$E$8,2,FALSE),0.3)*MIN(1,N(D286)/Settings!$B$7)*IF(P286="Dormant",1-0.5*(L286-Settings!$B$4)/MAX(1,Settings!$B$5-Settings!$B$4),0.25),0),"")</f>
        <v/>
      </c>
      <c r="R286" s="22">
        <f>IF(P286="Dormant",IF(AND(N(D286)&gt;=Settings!$B$6,N(Q286)&gt;=40),"Re-engage now",IF(N(D286)&gt;=Settings!$B$6,"Investigate, then decide","Low value: batch or close")),IF(P286="Likely dead","Close out or recycle to nurture",IF(P286="Active","Leave: active",IF(P286="Check dates","Add dates",""))))</f>
        <v/>
      </c>
      <c r="S286" s="23">
        <f>IF(OR(R286="Re-engage now",R286="Investigate, then decide"),Q286+ROW()/1000000,"")</f>
        <v/>
      </c>
    </row>
    <row r="287">
      <c r="A287" s="24" t="n"/>
      <c r="B287" s="24" t="n"/>
      <c r="C287" s="24" t="n"/>
      <c r="D287" s="25" t="n"/>
      <c r="E287" s="26" t="n"/>
      <c r="F287" s="26" t="n"/>
      <c r="G287" s="26" t="n"/>
      <c r="H287" s="26" t="n"/>
      <c r="I287" s="26" t="n"/>
      <c r="J287" s="24" t="n"/>
      <c r="K287" s="24" t="n"/>
      <c r="L287" s="22">
        <f>IF(A287="","",IF(AND(F287="",E287=""),"",TODAY()-IF(F287="",E287,F287)))</f>
        <v/>
      </c>
      <c r="M287" s="22">
        <f>IF(OR(A287="",E287=""),"",TODAY()-E287)</f>
        <v/>
      </c>
      <c r="N287" s="22">
        <f>IF(OR(H287="",I287=""),"",I287-H287)</f>
        <v/>
      </c>
      <c r="O287" s="22">
        <f>IF(OR(F287="",G287=""),"",IF(G287-F287&gt;Settings!$B$8,"CRM activity, no buyer contact",""))</f>
        <v/>
      </c>
      <c r="P287" s="22">
        <f>IF(A287="","",IF(OR(C287="Closed won",C287="Closed lost"),"Closed",IF(L287="","Check dates",IF(L287&gt;=Settings!$B$5,"Likely dead",IF(L287&gt;=Settings!$B$4,"Dormant","Active")))))</f>
        <v/>
      </c>
      <c r="Q287" s="22">
        <f>IF(OR(P287="Dormant",P287="Likely dead"),ROUND(100*IFERROR(VLOOKUP(C287,Settings!$D$4:$E$8,2,FALSE),0.3)*MIN(1,N(D287)/Settings!$B$7)*IF(P287="Dormant",1-0.5*(L287-Settings!$B$4)/MAX(1,Settings!$B$5-Settings!$B$4),0.25),0),"")</f>
        <v/>
      </c>
      <c r="R287" s="22">
        <f>IF(P287="Dormant",IF(AND(N(D287)&gt;=Settings!$B$6,N(Q287)&gt;=40),"Re-engage now",IF(N(D287)&gt;=Settings!$B$6,"Investigate, then decide","Low value: batch or close")),IF(P287="Likely dead","Close out or recycle to nurture",IF(P287="Active","Leave: active",IF(P287="Check dates","Add dates",""))))</f>
        <v/>
      </c>
      <c r="S287" s="23">
        <f>IF(OR(R287="Re-engage now",R287="Investigate, then decide"),Q287+ROW()/1000000,"")</f>
        <v/>
      </c>
    </row>
    <row r="288">
      <c r="A288" s="24" t="n"/>
      <c r="B288" s="24" t="n"/>
      <c r="C288" s="24" t="n"/>
      <c r="D288" s="25" t="n"/>
      <c r="E288" s="26" t="n"/>
      <c r="F288" s="26" t="n"/>
      <c r="G288" s="26" t="n"/>
      <c r="H288" s="26" t="n"/>
      <c r="I288" s="26" t="n"/>
      <c r="J288" s="24" t="n"/>
      <c r="K288" s="24" t="n"/>
      <c r="L288" s="22">
        <f>IF(A288="","",IF(AND(F288="",E288=""),"",TODAY()-IF(F288="",E288,F288)))</f>
        <v/>
      </c>
      <c r="M288" s="22">
        <f>IF(OR(A288="",E288=""),"",TODAY()-E288)</f>
        <v/>
      </c>
      <c r="N288" s="22">
        <f>IF(OR(H288="",I288=""),"",I288-H288)</f>
        <v/>
      </c>
      <c r="O288" s="22">
        <f>IF(OR(F288="",G288=""),"",IF(G288-F288&gt;Settings!$B$8,"CRM activity, no buyer contact",""))</f>
        <v/>
      </c>
      <c r="P288" s="22">
        <f>IF(A288="","",IF(OR(C288="Closed won",C288="Closed lost"),"Closed",IF(L288="","Check dates",IF(L288&gt;=Settings!$B$5,"Likely dead",IF(L288&gt;=Settings!$B$4,"Dormant","Active")))))</f>
        <v/>
      </c>
      <c r="Q288" s="22">
        <f>IF(OR(P288="Dormant",P288="Likely dead"),ROUND(100*IFERROR(VLOOKUP(C288,Settings!$D$4:$E$8,2,FALSE),0.3)*MIN(1,N(D288)/Settings!$B$7)*IF(P288="Dormant",1-0.5*(L288-Settings!$B$4)/MAX(1,Settings!$B$5-Settings!$B$4),0.25),0),"")</f>
        <v/>
      </c>
      <c r="R288" s="22">
        <f>IF(P288="Dormant",IF(AND(N(D288)&gt;=Settings!$B$6,N(Q288)&gt;=40),"Re-engage now",IF(N(D288)&gt;=Settings!$B$6,"Investigate, then decide","Low value: batch or close")),IF(P288="Likely dead","Close out or recycle to nurture",IF(P288="Active","Leave: active",IF(P288="Check dates","Add dates",""))))</f>
        <v/>
      </c>
      <c r="S288" s="23">
        <f>IF(OR(R288="Re-engage now",R288="Investigate, then decide"),Q288+ROW()/1000000,"")</f>
        <v/>
      </c>
    </row>
    <row r="289">
      <c r="A289" s="24" t="n"/>
      <c r="B289" s="24" t="n"/>
      <c r="C289" s="24" t="n"/>
      <c r="D289" s="25" t="n"/>
      <c r="E289" s="26" t="n"/>
      <c r="F289" s="26" t="n"/>
      <c r="G289" s="26" t="n"/>
      <c r="H289" s="26" t="n"/>
      <c r="I289" s="26" t="n"/>
      <c r="J289" s="24" t="n"/>
      <c r="K289" s="24" t="n"/>
      <c r="L289" s="22">
        <f>IF(A289="","",IF(AND(F289="",E289=""),"",TODAY()-IF(F289="",E289,F289)))</f>
        <v/>
      </c>
      <c r="M289" s="22">
        <f>IF(OR(A289="",E289=""),"",TODAY()-E289)</f>
        <v/>
      </c>
      <c r="N289" s="22">
        <f>IF(OR(H289="",I289=""),"",I289-H289)</f>
        <v/>
      </c>
      <c r="O289" s="22">
        <f>IF(OR(F289="",G289=""),"",IF(G289-F289&gt;Settings!$B$8,"CRM activity, no buyer contact",""))</f>
        <v/>
      </c>
      <c r="P289" s="22">
        <f>IF(A289="","",IF(OR(C289="Closed won",C289="Closed lost"),"Closed",IF(L289="","Check dates",IF(L289&gt;=Settings!$B$5,"Likely dead",IF(L289&gt;=Settings!$B$4,"Dormant","Active")))))</f>
        <v/>
      </c>
      <c r="Q289" s="22">
        <f>IF(OR(P289="Dormant",P289="Likely dead"),ROUND(100*IFERROR(VLOOKUP(C289,Settings!$D$4:$E$8,2,FALSE),0.3)*MIN(1,N(D289)/Settings!$B$7)*IF(P289="Dormant",1-0.5*(L289-Settings!$B$4)/MAX(1,Settings!$B$5-Settings!$B$4),0.25),0),"")</f>
        <v/>
      </c>
      <c r="R289" s="22">
        <f>IF(P289="Dormant",IF(AND(N(D289)&gt;=Settings!$B$6,N(Q289)&gt;=40),"Re-engage now",IF(N(D289)&gt;=Settings!$B$6,"Investigate, then decide","Low value: batch or close")),IF(P289="Likely dead","Close out or recycle to nurture",IF(P289="Active","Leave: active",IF(P289="Check dates","Add dates",""))))</f>
        <v/>
      </c>
      <c r="S289" s="23">
        <f>IF(OR(R289="Re-engage now",R289="Investigate, then decide"),Q289+ROW()/1000000,"")</f>
        <v/>
      </c>
    </row>
    <row r="290">
      <c r="A290" s="24" t="n"/>
      <c r="B290" s="24" t="n"/>
      <c r="C290" s="24" t="n"/>
      <c r="D290" s="25" t="n"/>
      <c r="E290" s="26" t="n"/>
      <c r="F290" s="26" t="n"/>
      <c r="G290" s="26" t="n"/>
      <c r="H290" s="26" t="n"/>
      <c r="I290" s="26" t="n"/>
      <c r="J290" s="24" t="n"/>
      <c r="K290" s="24" t="n"/>
      <c r="L290" s="22">
        <f>IF(A290="","",IF(AND(F290="",E290=""),"",TODAY()-IF(F290="",E290,F290)))</f>
        <v/>
      </c>
      <c r="M290" s="22">
        <f>IF(OR(A290="",E290=""),"",TODAY()-E290)</f>
        <v/>
      </c>
      <c r="N290" s="22">
        <f>IF(OR(H290="",I290=""),"",I290-H290)</f>
        <v/>
      </c>
      <c r="O290" s="22">
        <f>IF(OR(F290="",G290=""),"",IF(G290-F290&gt;Settings!$B$8,"CRM activity, no buyer contact",""))</f>
        <v/>
      </c>
      <c r="P290" s="22">
        <f>IF(A290="","",IF(OR(C290="Closed won",C290="Closed lost"),"Closed",IF(L290="","Check dates",IF(L290&gt;=Settings!$B$5,"Likely dead",IF(L290&gt;=Settings!$B$4,"Dormant","Active")))))</f>
        <v/>
      </c>
      <c r="Q290" s="22">
        <f>IF(OR(P290="Dormant",P290="Likely dead"),ROUND(100*IFERROR(VLOOKUP(C290,Settings!$D$4:$E$8,2,FALSE),0.3)*MIN(1,N(D290)/Settings!$B$7)*IF(P290="Dormant",1-0.5*(L290-Settings!$B$4)/MAX(1,Settings!$B$5-Settings!$B$4),0.25),0),"")</f>
        <v/>
      </c>
      <c r="R290" s="22">
        <f>IF(P290="Dormant",IF(AND(N(D290)&gt;=Settings!$B$6,N(Q290)&gt;=40),"Re-engage now",IF(N(D290)&gt;=Settings!$B$6,"Investigate, then decide","Low value: batch or close")),IF(P290="Likely dead","Close out or recycle to nurture",IF(P290="Active","Leave: active",IF(P290="Check dates","Add dates",""))))</f>
        <v/>
      </c>
      <c r="S290" s="23">
        <f>IF(OR(R290="Re-engage now",R290="Investigate, then decide"),Q290+ROW()/1000000,"")</f>
        <v/>
      </c>
    </row>
    <row r="291">
      <c r="A291" s="24" t="n"/>
      <c r="B291" s="24" t="n"/>
      <c r="C291" s="24" t="n"/>
      <c r="D291" s="25" t="n"/>
      <c r="E291" s="26" t="n"/>
      <c r="F291" s="26" t="n"/>
      <c r="G291" s="26" t="n"/>
      <c r="H291" s="26" t="n"/>
      <c r="I291" s="26" t="n"/>
      <c r="J291" s="24" t="n"/>
      <c r="K291" s="24" t="n"/>
      <c r="L291" s="22">
        <f>IF(A291="","",IF(AND(F291="",E291=""),"",TODAY()-IF(F291="",E291,F291)))</f>
        <v/>
      </c>
      <c r="M291" s="22">
        <f>IF(OR(A291="",E291=""),"",TODAY()-E291)</f>
        <v/>
      </c>
      <c r="N291" s="22">
        <f>IF(OR(H291="",I291=""),"",I291-H291)</f>
        <v/>
      </c>
      <c r="O291" s="22">
        <f>IF(OR(F291="",G291=""),"",IF(G291-F291&gt;Settings!$B$8,"CRM activity, no buyer contact",""))</f>
        <v/>
      </c>
      <c r="P291" s="22">
        <f>IF(A291="","",IF(OR(C291="Closed won",C291="Closed lost"),"Closed",IF(L291="","Check dates",IF(L291&gt;=Settings!$B$5,"Likely dead",IF(L291&gt;=Settings!$B$4,"Dormant","Active")))))</f>
        <v/>
      </c>
      <c r="Q291" s="22">
        <f>IF(OR(P291="Dormant",P291="Likely dead"),ROUND(100*IFERROR(VLOOKUP(C291,Settings!$D$4:$E$8,2,FALSE),0.3)*MIN(1,N(D291)/Settings!$B$7)*IF(P291="Dormant",1-0.5*(L291-Settings!$B$4)/MAX(1,Settings!$B$5-Settings!$B$4),0.25),0),"")</f>
        <v/>
      </c>
      <c r="R291" s="22">
        <f>IF(P291="Dormant",IF(AND(N(D291)&gt;=Settings!$B$6,N(Q291)&gt;=40),"Re-engage now",IF(N(D291)&gt;=Settings!$B$6,"Investigate, then decide","Low value: batch or close")),IF(P291="Likely dead","Close out or recycle to nurture",IF(P291="Active","Leave: active",IF(P291="Check dates","Add dates",""))))</f>
        <v/>
      </c>
      <c r="S291" s="23">
        <f>IF(OR(R291="Re-engage now",R291="Investigate, then decide"),Q291+ROW()/1000000,"")</f>
        <v/>
      </c>
    </row>
    <row r="292">
      <c r="A292" s="24" t="n"/>
      <c r="B292" s="24" t="n"/>
      <c r="C292" s="24" t="n"/>
      <c r="D292" s="25" t="n"/>
      <c r="E292" s="26" t="n"/>
      <c r="F292" s="26" t="n"/>
      <c r="G292" s="26" t="n"/>
      <c r="H292" s="26" t="n"/>
      <c r="I292" s="26" t="n"/>
      <c r="J292" s="24" t="n"/>
      <c r="K292" s="24" t="n"/>
      <c r="L292" s="22">
        <f>IF(A292="","",IF(AND(F292="",E292=""),"",TODAY()-IF(F292="",E292,F292)))</f>
        <v/>
      </c>
      <c r="M292" s="22">
        <f>IF(OR(A292="",E292=""),"",TODAY()-E292)</f>
        <v/>
      </c>
      <c r="N292" s="22">
        <f>IF(OR(H292="",I292=""),"",I292-H292)</f>
        <v/>
      </c>
      <c r="O292" s="22">
        <f>IF(OR(F292="",G292=""),"",IF(G292-F292&gt;Settings!$B$8,"CRM activity, no buyer contact",""))</f>
        <v/>
      </c>
      <c r="P292" s="22">
        <f>IF(A292="","",IF(OR(C292="Closed won",C292="Closed lost"),"Closed",IF(L292="","Check dates",IF(L292&gt;=Settings!$B$5,"Likely dead",IF(L292&gt;=Settings!$B$4,"Dormant","Active")))))</f>
        <v/>
      </c>
      <c r="Q292" s="22">
        <f>IF(OR(P292="Dormant",P292="Likely dead"),ROUND(100*IFERROR(VLOOKUP(C292,Settings!$D$4:$E$8,2,FALSE),0.3)*MIN(1,N(D292)/Settings!$B$7)*IF(P292="Dormant",1-0.5*(L292-Settings!$B$4)/MAX(1,Settings!$B$5-Settings!$B$4),0.25),0),"")</f>
        <v/>
      </c>
      <c r="R292" s="22">
        <f>IF(P292="Dormant",IF(AND(N(D292)&gt;=Settings!$B$6,N(Q292)&gt;=40),"Re-engage now",IF(N(D292)&gt;=Settings!$B$6,"Investigate, then decide","Low value: batch or close")),IF(P292="Likely dead","Close out or recycle to nurture",IF(P292="Active","Leave: active",IF(P292="Check dates","Add dates",""))))</f>
        <v/>
      </c>
      <c r="S292" s="23">
        <f>IF(OR(R292="Re-engage now",R292="Investigate, then decide"),Q292+ROW()/1000000,"")</f>
        <v/>
      </c>
    </row>
    <row r="293">
      <c r="A293" s="24" t="n"/>
      <c r="B293" s="24" t="n"/>
      <c r="C293" s="24" t="n"/>
      <c r="D293" s="25" t="n"/>
      <c r="E293" s="26" t="n"/>
      <c r="F293" s="26" t="n"/>
      <c r="G293" s="26" t="n"/>
      <c r="H293" s="26" t="n"/>
      <c r="I293" s="26" t="n"/>
      <c r="J293" s="24" t="n"/>
      <c r="K293" s="24" t="n"/>
      <c r="L293" s="22">
        <f>IF(A293="","",IF(AND(F293="",E293=""),"",TODAY()-IF(F293="",E293,F293)))</f>
        <v/>
      </c>
      <c r="M293" s="22">
        <f>IF(OR(A293="",E293=""),"",TODAY()-E293)</f>
        <v/>
      </c>
      <c r="N293" s="22">
        <f>IF(OR(H293="",I293=""),"",I293-H293)</f>
        <v/>
      </c>
      <c r="O293" s="22">
        <f>IF(OR(F293="",G293=""),"",IF(G293-F293&gt;Settings!$B$8,"CRM activity, no buyer contact",""))</f>
        <v/>
      </c>
      <c r="P293" s="22">
        <f>IF(A293="","",IF(OR(C293="Closed won",C293="Closed lost"),"Closed",IF(L293="","Check dates",IF(L293&gt;=Settings!$B$5,"Likely dead",IF(L293&gt;=Settings!$B$4,"Dormant","Active")))))</f>
        <v/>
      </c>
      <c r="Q293" s="22">
        <f>IF(OR(P293="Dormant",P293="Likely dead"),ROUND(100*IFERROR(VLOOKUP(C293,Settings!$D$4:$E$8,2,FALSE),0.3)*MIN(1,N(D293)/Settings!$B$7)*IF(P293="Dormant",1-0.5*(L293-Settings!$B$4)/MAX(1,Settings!$B$5-Settings!$B$4),0.25),0),"")</f>
        <v/>
      </c>
      <c r="R293" s="22">
        <f>IF(P293="Dormant",IF(AND(N(D293)&gt;=Settings!$B$6,N(Q293)&gt;=40),"Re-engage now",IF(N(D293)&gt;=Settings!$B$6,"Investigate, then decide","Low value: batch or close")),IF(P293="Likely dead","Close out or recycle to nurture",IF(P293="Active","Leave: active",IF(P293="Check dates","Add dates",""))))</f>
        <v/>
      </c>
      <c r="S293" s="23">
        <f>IF(OR(R293="Re-engage now",R293="Investigate, then decide"),Q293+ROW()/1000000,"")</f>
        <v/>
      </c>
    </row>
    <row r="294">
      <c r="A294" s="24" t="n"/>
      <c r="B294" s="24" t="n"/>
      <c r="C294" s="24" t="n"/>
      <c r="D294" s="25" t="n"/>
      <c r="E294" s="26" t="n"/>
      <c r="F294" s="26" t="n"/>
      <c r="G294" s="26" t="n"/>
      <c r="H294" s="26" t="n"/>
      <c r="I294" s="26" t="n"/>
      <c r="J294" s="24" t="n"/>
      <c r="K294" s="24" t="n"/>
      <c r="L294" s="22">
        <f>IF(A294="","",IF(AND(F294="",E294=""),"",TODAY()-IF(F294="",E294,F294)))</f>
        <v/>
      </c>
      <c r="M294" s="22">
        <f>IF(OR(A294="",E294=""),"",TODAY()-E294)</f>
        <v/>
      </c>
      <c r="N294" s="22">
        <f>IF(OR(H294="",I294=""),"",I294-H294)</f>
        <v/>
      </c>
      <c r="O294" s="22">
        <f>IF(OR(F294="",G294=""),"",IF(G294-F294&gt;Settings!$B$8,"CRM activity, no buyer contact",""))</f>
        <v/>
      </c>
      <c r="P294" s="22">
        <f>IF(A294="","",IF(OR(C294="Closed won",C294="Closed lost"),"Closed",IF(L294="","Check dates",IF(L294&gt;=Settings!$B$5,"Likely dead",IF(L294&gt;=Settings!$B$4,"Dormant","Active")))))</f>
        <v/>
      </c>
      <c r="Q294" s="22">
        <f>IF(OR(P294="Dormant",P294="Likely dead"),ROUND(100*IFERROR(VLOOKUP(C294,Settings!$D$4:$E$8,2,FALSE),0.3)*MIN(1,N(D294)/Settings!$B$7)*IF(P294="Dormant",1-0.5*(L294-Settings!$B$4)/MAX(1,Settings!$B$5-Settings!$B$4),0.25),0),"")</f>
        <v/>
      </c>
      <c r="R294" s="22">
        <f>IF(P294="Dormant",IF(AND(N(D294)&gt;=Settings!$B$6,N(Q294)&gt;=40),"Re-engage now",IF(N(D294)&gt;=Settings!$B$6,"Investigate, then decide","Low value: batch or close")),IF(P294="Likely dead","Close out or recycle to nurture",IF(P294="Active","Leave: active",IF(P294="Check dates","Add dates",""))))</f>
        <v/>
      </c>
      <c r="S294" s="23">
        <f>IF(OR(R294="Re-engage now",R294="Investigate, then decide"),Q294+ROW()/1000000,"")</f>
        <v/>
      </c>
    </row>
    <row r="295">
      <c r="A295" s="24" t="n"/>
      <c r="B295" s="24" t="n"/>
      <c r="C295" s="24" t="n"/>
      <c r="D295" s="25" t="n"/>
      <c r="E295" s="26" t="n"/>
      <c r="F295" s="26" t="n"/>
      <c r="G295" s="26" t="n"/>
      <c r="H295" s="26" t="n"/>
      <c r="I295" s="26" t="n"/>
      <c r="J295" s="24" t="n"/>
      <c r="K295" s="24" t="n"/>
      <c r="L295" s="22">
        <f>IF(A295="","",IF(AND(F295="",E295=""),"",TODAY()-IF(F295="",E295,F295)))</f>
        <v/>
      </c>
      <c r="M295" s="22">
        <f>IF(OR(A295="",E295=""),"",TODAY()-E295)</f>
        <v/>
      </c>
      <c r="N295" s="22">
        <f>IF(OR(H295="",I295=""),"",I295-H295)</f>
        <v/>
      </c>
      <c r="O295" s="22">
        <f>IF(OR(F295="",G295=""),"",IF(G295-F295&gt;Settings!$B$8,"CRM activity, no buyer contact",""))</f>
        <v/>
      </c>
      <c r="P295" s="22">
        <f>IF(A295="","",IF(OR(C295="Closed won",C295="Closed lost"),"Closed",IF(L295="","Check dates",IF(L295&gt;=Settings!$B$5,"Likely dead",IF(L295&gt;=Settings!$B$4,"Dormant","Active")))))</f>
        <v/>
      </c>
      <c r="Q295" s="22">
        <f>IF(OR(P295="Dormant",P295="Likely dead"),ROUND(100*IFERROR(VLOOKUP(C295,Settings!$D$4:$E$8,2,FALSE),0.3)*MIN(1,N(D295)/Settings!$B$7)*IF(P295="Dormant",1-0.5*(L295-Settings!$B$4)/MAX(1,Settings!$B$5-Settings!$B$4),0.25),0),"")</f>
        <v/>
      </c>
      <c r="R295" s="22">
        <f>IF(P295="Dormant",IF(AND(N(D295)&gt;=Settings!$B$6,N(Q295)&gt;=40),"Re-engage now",IF(N(D295)&gt;=Settings!$B$6,"Investigate, then decide","Low value: batch or close")),IF(P295="Likely dead","Close out or recycle to nurture",IF(P295="Active","Leave: active",IF(P295="Check dates","Add dates",""))))</f>
        <v/>
      </c>
      <c r="S295" s="23">
        <f>IF(OR(R295="Re-engage now",R295="Investigate, then decide"),Q295+ROW()/1000000,"")</f>
        <v/>
      </c>
    </row>
    <row r="296">
      <c r="A296" s="24" t="n"/>
      <c r="B296" s="24" t="n"/>
      <c r="C296" s="24" t="n"/>
      <c r="D296" s="25" t="n"/>
      <c r="E296" s="26" t="n"/>
      <c r="F296" s="26" t="n"/>
      <c r="G296" s="26" t="n"/>
      <c r="H296" s="26" t="n"/>
      <c r="I296" s="26" t="n"/>
      <c r="J296" s="24" t="n"/>
      <c r="K296" s="24" t="n"/>
      <c r="L296" s="22">
        <f>IF(A296="","",IF(AND(F296="",E296=""),"",TODAY()-IF(F296="",E296,F296)))</f>
        <v/>
      </c>
      <c r="M296" s="22">
        <f>IF(OR(A296="",E296=""),"",TODAY()-E296)</f>
        <v/>
      </c>
      <c r="N296" s="22">
        <f>IF(OR(H296="",I296=""),"",I296-H296)</f>
        <v/>
      </c>
      <c r="O296" s="22">
        <f>IF(OR(F296="",G296=""),"",IF(G296-F296&gt;Settings!$B$8,"CRM activity, no buyer contact",""))</f>
        <v/>
      </c>
      <c r="P296" s="22">
        <f>IF(A296="","",IF(OR(C296="Closed won",C296="Closed lost"),"Closed",IF(L296="","Check dates",IF(L296&gt;=Settings!$B$5,"Likely dead",IF(L296&gt;=Settings!$B$4,"Dormant","Active")))))</f>
        <v/>
      </c>
      <c r="Q296" s="22">
        <f>IF(OR(P296="Dormant",P296="Likely dead"),ROUND(100*IFERROR(VLOOKUP(C296,Settings!$D$4:$E$8,2,FALSE),0.3)*MIN(1,N(D296)/Settings!$B$7)*IF(P296="Dormant",1-0.5*(L296-Settings!$B$4)/MAX(1,Settings!$B$5-Settings!$B$4),0.25),0),"")</f>
        <v/>
      </c>
      <c r="R296" s="22">
        <f>IF(P296="Dormant",IF(AND(N(D296)&gt;=Settings!$B$6,N(Q296)&gt;=40),"Re-engage now",IF(N(D296)&gt;=Settings!$B$6,"Investigate, then decide","Low value: batch or close")),IF(P296="Likely dead","Close out or recycle to nurture",IF(P296="Active","Leave: active",IF(P296="Check dates","Add dates",""))))</f>
        <v/>
      </c>
      <c r="S296" s="23">
        <f>IF(OR(R296="Re-engage now",R296="Investigate, then decide"),Q296+ROW()/1000000,"")</f>
        <v/>
      </c>
    </row>
    <row r="297">
      <c r="A297" s="24" t="n"/>
      <c r="B297" s="24" t="n"/>
      <c r="C297" s="24" t="n"/>
      <c r="D297" s="25" t="n"/>
      <c r="E297" s="26" t="n"/>
      <c r="F297" s="26" t="n"/>
      <c r="G297" s="26" t="n"/>
      <c r="H297" s="26" t="n"/>
      <c r="I297" s="26" t="n"/>
      <c r="J297" s="24" t="n"/>
      <c r="K297" s="24" t="n"/>
      <c r="L297" s="22">
        <f>IF(A297="","",IF(AND(F297="",E297=""),"",TODAY()-IF(F297="",E297,F297)))</f>
        <v/>
      </c>
      <c r="M297" s="22">
        <f>IF(OR(A297="",E297=""),"",TODAY()-E297)</f>
        <v/>
      </c>
      <c r="N297" s="22">
        <f>IF(OR(H297="",I297=""),"",I297-H297)</f>
        <v/>
      </c>
      <c r="O297" s="22">
        <f>IF(OR(F297="",G297=""),"",IF(G297-F297&gt;Settings!$B$8,"CRM activity, no buyer contact",""))</f>
        <v/>
      </c>
      <c r="P297" s="22">
        <f>IF(A297="","",IF(OR(C297="Closed won",C297="Closed lost"),"Closed",IF(L297="","Check dates",IF(L297&gt;=Settings!$B$5,"Likely dead",IF(L297&gt;=Settings!$B$4,"Dormant","Active")))))</f>
        <v/>
      </c>
      <c r="Q297" s="22">
        <f>IF(OR(P297="Dormant",P297="Likely dead"),ROUND(100*IFERROR(VLOOKUP(C297,Settings!$D$4:$E$8,2,FALSE),0.3)*MIN(1,N(D297)/Settings!$B$7)*IF(P297="Dormant",1-0.5*(L297-Settings!$B$4)/MAX(1,Settings!$B$5-Settings!$B$4),0.25),0),"")</f>
        <v/>
      </c>
      <c r="R297" s="22">
        <f>IF(P297="Dormant",IF(AND(N(D297)&gt;=Settings!$B$6,N(Q297)&gt;=40),"Re-engage now",IF(N(D297)&gt;=Settings!$B$6,"Investigate, then decide","Low value: batch or close")),IF(P297="Likely dead","Close out or recycle to nurture",IF(P297="Active","Leave: active",IF(P297="Check dates","Add dates",""))))</f>
        <v/>
      </c>
      <c r="S297" s="23">
        <f>IF(OR(R297="Re-engage now",R297="Investigate, then decide"),Q297+ROW()/1000000,"")</f>
        <v/>
      </c>
    </row>
    <row r="298">
      <c r="A298" s="24" t="n"/>
      <c r="B298" s="24" t="n"/>
      <c r="C298" s="24" t="n"/>
      <c r="D298" s="25" t="n"/>
      <c r="E298" s="26" t="n"/>
      <c r="F298" s="26" t="n"/>
      <c r="G298" s="26" t="n"/>
      <c r="H298" s="26" t="n"/>
      <c r="I298" s="26" t="n"/>
      <c r="J298" s="24" t="n"/>
      <c r="K298" s="24" t="n"/>
      <c r="L298" s="22">
        <f>IF(A298="","",IF(AND(F298="",E298=""),"",TODAY()-IF(F298="",E298,F298)))</f>
        <v/>
      </c>
      <c r="M298" s="22">
        <f>IF(OR(A298="",E298=""),"",TODAY()-E298)</f>
        <v/>
      </c>
      <c r="N298" s="22">
        <f>IF(OR(H298="",I298=""),"",I298-H298)</f>
        <v/>
      </c>
      <c r="O298" s="22">
        <f>IF(OR(F298="",G298=""),"",IF(G298-F298&gt;Settings!$B$8,"CRM activity, no buyer contact",""))</f>
        <v/>
      </c>
      <c r="P298" s="22">
        <f>IF(A298="","",IF(OR(C298="Closed won",C298="Closed lost"),"Closed",IF(L298="","Check dates",IF(L298&gt;=Settings!$B$5,"Likely dead",IF(L298&gt;=Settings!$B$4,"Dormant","Active")))))</f>
        <v/>
      </c>
      <c r="Q298" s="22">
        <f>IF(OR(P298="Dormant",P298="Likely dead"),ROUND(100*IFERROR(VLOOKUP(C298,Settings!$D$4:$E$8,2,FALSE),0.3)*MIN(1,N(D298)/Settings!$B$7)*IF(P298="Dormant",1-0.5*(L298-Settings!$B$4)/MAX(1,Settings!$B$5-Settings!$B$4),0.25),0),"")</f>
        <v/>
      </c>
      <c r="R298" s="22">
        <f>IF(P298="Dormant",IF(AND(N(D298)&gt;=Settings!$B$6,N(Q298)&gt;=40),"Re-engage now",IF(N(D298)&gt;=Settings!$B$6,"Investigate, then decide","Low value: batch or close")),IF(P298="Likely dead","Close out or recycle to nurture",IF(P298="Active","Leave: active",IF(P298="Check dates","Add dates",""))))</f>
        <v/>
      </c>
      <c r="S298" s="23">
        <f>IF(OR(R298="Re-engage now",R298="Investigate, then decide"),Q298+ROW()/1000000,"")</f>
        <v/>
      </c>
    </row>
    <row r="299">
      <c r="A299" s="24" t="n"/>
      <c r="B299" s="24" t="n"/>
      <c r="C299" s="24" t="n"/>
      <c r="D299" s="25" t="n"/>
      <c r="E299" s="26" t="n"/>
      <c r="F299" s="26" t="n"/>
      <c r="G299" s="26" t="n"/>
      <c r="H299" s="26" t="n"/>
      <c r="I299" s="26" t="n"/>
      <c r="J299" s="24" t="n"/>
      <c r="K299" s="24" t="n"/>
      <c r="L299" s="22">
        <f>IF(A299="","",IF(AND(F299="",E299=""),"",TODAY()-IF(F299="",E299,F299)))</f>
        <v/>
      </c>
      <c r="M299" s="22">
        <f>IF(OR(A299="",E299=""),"",TODAY()-E299)</f>
        <v/>
      </c>
      <c r="N299" s="22">
        <f>IF(OR(H299="",I299=""),"",I299-H299)</f>
        <v/>
      </c>
      <c r="O299" s="22">
        <f>IF(OR(F299="",G299=""),"",IF(G299-F299&gt;Settings!$B$8,"CRM activity, no buyer contact",""))</f>
        <v/>
      </c>
      <c r="P299" s="22">
        <f>IF(A299="","",IF(OR(C299="Closed won",C299="Closed lost"),"Closed",IF(L299="","Check dates",IF(L299&gt;=Settings!$B$5,"Likely dead",IF(L299&gt;=Settings!$B$4,"Dormant","Active")))))</f>
        <v/>
      </c>
      <c r="Q299" s="22">
        <f>IF(OR(P299="Dormant",P299="Likely dead"),ROUND(100*IFERROR(VLOOKUP(C299,Settings!$D$4:$E$8,2,FALSE),0.3)*MIN(1,N(D299)/Settings!$B$7)*IF(P299="Dormant",1-0.5*(L299-Settings!$B$4)/MAX(1,Settings!$B$5-Settings!$B$4),0.25),0),"")</f>
        <v/>
      </c>
      <c r="R299" s="22">
        <f>IF(P299="Dormant",IF(AND(N(D299)&gt;=Settings!$B$6,N(Q299)&gt;=40),"Re-engage now",IF(N(D299)&gt;=Settings!$B$6,"Investigate, then decide","Low value: batch or close")),IF(P299="Likely dead","Close out or recycle to nurture",IF(P299="Active","Leave: active",IF(P299="Check dates","Add dates",""))))</f>
        <v/>
      </c>
      <c r="S299" s="23">
        <f>IF(OR(R299="Re-engage now",R299="Investigate, then decide"),Q299+ROW()/1000000,"")</f>
        <v/>
      </c>
    </row>
    <row r="300">
      <c r="A300" s="24" t="n"/>
      <c r="B300" s="24" t="n"/>
      <c r="C300" s="24" t="n"/>
      <c r="D300" s="25" t="n"/>
      <c r="E300" s="26" t="n"/>
      <c r="F300" s="26" t="n"/>
      <c r="G300" s="26" t="n"/>
      <c r="H300" s="26" t="n"/>
      <c r="I300" s="26" t="n"/>
      <c r="J300" s="24" t="n"/>
      <c r="K300" s="24" t="n"/>
      <c r="L300" s="22">
        <f>IF(A300="","",IF(AND(F300="",E300=""),"",TODAY()-IF(F300="",E300,F300)))</f>
        <v/>
      </c>
      <c r="M300" s="22">
        <f>IF(OR(A300="",E300=""),"",TODAY()-E300)</f>
        <v/>
      </c>
      <c r="N300" s="22">
        <f>IF(OR(H300="",I300=""),"",I300-H300)</f>
        <v/>
      </c>
      <c r="O300" s="22">
        <f>IF(OR(F300="",G300=""),"",IF(G300-F300&gt;Settings!$B$8,"CRM activity, no buyer contact",""))</f>
        <v/>
      </c>
      <c r="P300" s="22">
        <f>IF(A300="","",IF(OR(C300="Closed won",C300="Closed lost"),"Closed",IF(L300="","Check dates",IF(L300&gt;=Settings!$B$5,"Likely dead",IF(L300&gt;=Settings!$B$4,"Dormant","Active")))))</f>
        <v/>
      </c>
      <c r="Q300" s="22">
        <f>IF(OR(P300="Dormant",P300="Likely dead"),ROUND(100*IFERROR(VLOOKUP(C300,Settings!$D$4:$E$8,2,FALSE),0.3)*MIN(1,N(D300)/Settings!$B$7)*IF(P300="Dormant",1-0.5*(L300-Settings!$B$4)/MAX(1,Settings!$B$5-Settings!$B$4),0.25),0),"")</f>
        <v/>
      </c>
      <c r="R300" s="22">
        <f>IF(P300="Dormant",IF(AND(N(D300)&gt;=Settings!$B$6,N(Q300)&gt;=40),"Re-engage now",IF(N(D300)&gt;=Settings!$B$6,"Investigate, then decide","Low value: batch or close")),IF(P300="Likely dead","Close out or recycle to nurture",IF(P300="Active","Leave: active",IF(P300="Check dates","Add dates",""))))</f>
        <v/>
      </c>
      <c r="S300" s="23">
        <f>IF(OR(R300="Re-engage now",R300="Investigate, then decide"),Q300+ROW()/1000000,"")</f>
        <v/>
      </c>
    </row>
    <row r="301">
      <c r="A301" s="24" t="n"/>
      <c r="B301" s="24" t="n"/>
      <c r="C301" s="24" t="n"/>
      <c r="D301" s="25" t="n"/>
      <c r="E301" s="26" t="n"/>
      <c r="F301" s="26" t="n"/>
      <c r="G301" s="26" t="n"/>
      <c r="H301" s="26" t="n"/>
      <c r="I301" s="26" t="n"/>
      <c r="J301" s="24" t="n"/>
      <c r="K301" s="24" t="n"/>
      <c r="L301" s="22">
        <f>IF(A301="","",IF(AND(F301="",E301=""),"",TODAY()-IF(F301="",E301,F301)))</f>
        <v/>
      </c>
      <c r="M301" s="22">
        <f>IF(OR(A301="",E301=""),"",TODAY()-E301)</f>
        <v/>
      </c>
      <c r="N301" s="22">
        <f>IF(OR(H301="",I301=""),"",I301-H301)</f>
        <v/>
      </c>
      <c r="O301" s="22">
        <f>IF(OR(F301="",G301=""),"",IF(G301-F301&gt;Settings!$B$8,"CRM activity, no buyer contact",""))</f>
        <v/>
      </c>
      <c r="P301" s="22">
        <f>IF(A301="","",IF(OR(C301="Closed won",C301="Closed lost"),"Closed",IF(L301="","Check dates",IF(L301&gt;=Settings!$B$5,"Likely dead",IF(L301&gt;=Settings!$B$4,"Dormant","Active")))))</f>
        <v/>
      </c>
      <c r="Q301" s="22">
        <f>IF(OR(P301="Dormant",P301="Likely dead"),ROUND(100*IFERROR(VLOOKUP(C301,Settings!$D$4:$E$8,2,FALSE),0.3)*MIN(1,N(D301)/Settings!$B$7)*IF(P301="Dormant",1-0.5*(L301-Settings!$B$4)/MAX(1,Settings!$B$5-Settings!$B$4),0.25),0),"")</f>
        <v/>
      </c>
      <c r="R301" s="22">
        <f>IF(P301="Dormant",IF(AND(N(D301)&gt;=Settings!$B$6,N(Q301)&gt;=40),"Re-engage now",IF(N(D301)&gt;=Settings!$B$6,"Investigate, then decide","Low value: batch or close")),IF(P301="Likely dead","Close out or recycle to nurture",IF(P301="Active","Leave: active",IF(P301="Check dates","Add dates",""))))</f>
        <v/>
      </c>
      <c r="S301" s="23">
        <f>IF(OR(R301="Re-engage now",R301="Investigate, then decide"),Q301+ROW()/1000000,"")</f>
        <v/>
      </c>
    </row>
    <row r="302">
      <c r="A302" s="24" t="n"/>
      <c r="B302" s="24" t="n"/>
      <c r="C302" s="24" t="n"/>
      <c r="D302" s="25" t="n"/>
      <c r="E302" s="26" t="n"/>
      <c r="F302" s="26" t="n"/>
      <c r="G302" s="26" t="n"/>
      <c r="H302" s="26" t="n"/>
      <c r="I302" s="26" t="n"/>
      <c r="J302" s="24" t="n"/>
      <c r="K302" s="24" t="n"/>
      <c r="L302" s="22">
        <f>IF(A302="","",IF(AND(F302="",E302=""),"",TODAY()-IF(F302="",E302,F302)))</f>
        <v/>
      </c>
      <c r="M302" s="22">
        <f>IF(OR(A302="",E302=""),"",TODAY()-E302)</f>
        <v/>
      </c>
      <c r="N302" s="22">
        <f>IF(OR(H302="",I302=""),"",I302-H302)</f>
        <v/>
      </c>
      <c r="O302" s="22">
        <f>IF(OR(F302="",G302=""),"",IF(G302-F302&gt;Settings!$B$8,"CRM activity, no buyer contact",""))</f>
        <v/>
      </c>
      <c r="P302" s="22">
        <f>IF(A302="","",IF(OR(C302="Closed won",C302="Closed lost"),"Closed",IF(L302="","Check dates",IF(L302&gt;=Settings!$B$5,"Likely dead",IF(L302&gt;=Settings!$B$4,"Dormant","Active")))))</f>
        <v/>
      </c>
      <c r="Q302" s="22">
        <f>IF(OR(P302="Dormant",P302="Likely dead"),ROUND(100*IFERROR(VLOOKUP(C302,Settings!$D$4:$E$8,2,FALSE),0.3)*MIN(1,N(D302)/Settings!$B$7)*IF(P302="Dormant",1-0.5*(L302-Settings!$B$4)/MAX(1,Settings!$B$5-Settings!$B$4),0.25),0),"")</f>
        <v/>
      </c>
      <c r="R302" s="22">
        <f>IF(P302="Dormant",IF(AND(N(D302)&gt;=Settings!$B$6,N(Q302)&gt;=40),"Re-engage now",IF(N(D302)&gt;=Settings!$B$6,"Investigate, then decide","Low value: batch or close")),IF(P302="Likely dead","Close out or recycle to nurture",IF(P302="Active","Leave: active",IF(P302="Check dates","Add dates",""))))</f>
        <v/>
      </c>
      <c r="S302" s="23">
        <f>IF(OR(R302="Re-engage now",R302="Investigate, then decide"),Q302+ROW()/1000000,"")</f>
        <v/>
      </c>
    </row>
    <row r="303">
      <c r="A303" s="24" t="n"/>
      <c r="B303" s="24" t="n"/>
      <c r="C303" s="24" t="n"/>
      <c r="D303" s="25" t="n"/>
      <c r="E303" s="26" t="n"/>
      <c r="F303" s="26" t="n"/>
      <c r="G303" s="26" t="n"/>
      <c r="H303" s="26" t="n"/>
      <c r="I303" s="26" t="n"/>
      <c r="J303" s="24" t="n"/>
      <c r="K303" s="24" t="n"/>
      <c r="L303" s="22">
        <f>IF(A303="","",IF(AND(F303="",E303=""),"",TODAY()-IF(F303="",E303,F303)))</f>
        <v/>
      </c>
      <c r="M303" s="22">
        <f>IF(OR(A303="",E303=""),"",TODAY()-E303)</f>
        <v/>
      </c>
      <c r="N303" s="22">
        <f>IF(OR(H303="",I303=""),"",I303-H303)</f>
        <v/>
      </c>
      <c r="O303" s="22">
        <f>IF(OR(F303="",G303=""),"",IF(G303-F303&gt;Settings!$B$8,"CRM activity, no buyer contact",""))</f>
        <v/>
      </c>
      <c r="P303" s="22">
        <f>IF(A303="","",IF(OR(C303="Closed won",C303="Closed lost"),"Closed",IF(L303="","Check dates",IF(L303&gt;=Settings!$B$5,"Likely dead",IF(L303&gt;=Settings!$B$4,"Dormant","Active")))))</f>
        <v/>
      </c>
      <c r="Q303" s="22">
        <f>IF(OR(P303="Dormant",P303="Likely dead"),ROUND(100*IFERROR(VLOOKUP(C303,Settings!$D$4:$E$8,2,FALSE),0.3)*MIN(1,N(D303)/Settings!$B$7)*IF(P303="Dormant",1-0.5*(L303-Settings!$B$4)/MAX(1,Settings!$B$5-Settings!$B$4),0.25),0),"")</f>
        <v/>
      </c>
      <c r="R303" s="22">
        <f>IF(P303="Dormant",IF(AND(N(D303)&gt;=Settings!$B$6,N(Q303)&gt;=40),"Re-engage now",IF(N(D303)&gt;=Settings!$B$6,"Investigate, then decide","Low value: batch or close")),IF(P303="Likely dead","Close out or recycle to nurture",IF(P303="Active","Leave: active",IF(P303="Check dates","Add dates",""))))</f>
        <v/>
      </c>
      <c r="S303" s="23">
        <f>IF(OR(R303="Re-engage now",R303="Investigate, then decide"),Q303+ROW()/1000000,"")</f>
        <v/>
      </c>
    </row>
  </sheetData>
  <conditionalFormatting sqref="P4:P303">
    <cfRule type="cellIs" priority="1" operator="equal" dxfId="0">
      <formula>"Dormant"</formula>
    </cfRule>
    <cfRule type="cellIs" priority="2" operator="equal" dxfId="1">
      <formula>"Likely dead"</formula>
    </cfRule>
    <cfRule type="cellIs" priority="3" operator="equal" dxfId="2">
      <formula>"Active"</formula>
    </cfRule>
  </conditionalFormatting>
  <conditionalFormatting sqref="R4:R303">
    <cfRule type="cellIs" priority="4" operator="equal" dxfId="3">
      <formula>"Re-engage now"</formula>
    </cfRule>
  </conditionalFormatting>
  <dataValidations count="1">
    <dataValidation sqref="C4:C303" showDropDown="0" showInputMessage="0" showErrorMessage="0" allowBlank="1" errorTitle="Stage" error="This stage is not in the list. That is fine, but add it to Settings so it scores properly." type="list" errorStyle="warning">
      <formula1>"Qualify,Discover,Solution,Proposal,Negotiate,Closed won,Closed lost"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0" customWidth="1" min="7" max="7"/>
    <col width="30" customWidth="1" min="8" max="8"/>
    <col width="30" customWidth="1" min="9" max="9"/>
  </cols>
  <sheetData>
    <row r="1">
      <c r="A1" s="9" t="inlineStr">
        <is>
          <t>Your top ten deals to revisit</t>
        </is>
      </c>
    </row>
    <row r="3" ht="30" customHeight="1">
      <c r="A3" s="10" t="inlineStr">
        <is>
          <t>#</t>
        </is>
      </c>
      <c r="B3" s="10" t="inlineStr">
        <is>
          <t>Deal</t>
        </is>
      </c>
      <c r="C3" s="10" t="inlineStr">
        <is>
          <t>Owner</t>
        </is>
      </c>
      <c r="D3" s="10" t="inlineStr">
        <is>
          <t>Stage</t>
        </is>
      </c>
      <c r="E3" s="10" t="inlineStr">
        <is>
          <t>Amount</t>
        </is>
      </c>
      <c r="F3" s="10" t="inlineStr">
        <is>
          <t>Days since contact</t>
        </is>
      </c>
      <c r="G3" s="10" t="inlineStr">
        <is>
          <t>Score</t>
        </is>
      </c>
      <c r="H3" s="10" t="inlineStr">
        <is>
          <t>Suggested action</t>
        </is>
      </c>
      <c r="I3" s="10" t="inlineStr">
        <is>
          <t>Notes</t>
        </is>
      </c>
    </row>
    <row r="4" ht="30" customHeight="1">
      <c r="A4" s="27" t="n">
        <v>1</v>
      </c>
      <c r="B4" s="22">
        <f>IFERROR(INDEX(Deals!$A$4:$A$303,MATCH(LARGE(Deals!$S$4:$S$303,1),Deals!$S$4:$S$303,0))&amp;"","")</f>
        <v/>
      </c>
      <c r="C4" s="22">
        <f>IFERROR(INDEX(Deals!$B$4:$B$303,MATCH(LARGE(Deals!$S$4:$S$303,1),Deals!$S$4:$S$303,0))&amp;"","")</f>
        <v/>
      </c>
      <c r="D4" s="22">
        <f>IFERROR(INDEX(Deals!$C$4:$C$303,MATCH(LARGE(Deals!$S$4:$S$303,1),Deals!$S$4:$S$303,0))&amp;"","")</f>
        <v/>
      </c>
      <c r="E4" s="28">
        <f>IFERROR(INDEX(Deals!$D$4:$D$303,MATCH(LARGE(Deals!$S$4:$S$303,1),Deals!$S$4:$S$303,0)),"")</f>
        <v/>
      </c>
      <c r="F4" s="22">
        <f>IFERROR(INDEX(Deals!$L$4:$L$303,MATCH(LARGE(Deals!$S$4:$S$303,1),Deals!$S$4:$S$303,0)),"")</f>
        <v/>
      </c>
      <c r="G4" s="22">
        <f>IFERROR(INDEX(Deals!$Q$4:$Q$303,MATCH(LARGE(Deals!$S$4:$S$303,1),Deals!$S$4:$S$303,0)),"")</f>
        <v/>
      </c>
      <c r="H4" s="22">
        <f>IFERROR(INDEX(Deals!$R$4:$R$303,MATCH(LARGE(Deals!$S$4:$S$303,1),Deals!$S$4:$S$303,0))&amp;"","")</f>
        <v/>
      </c>
      <c r="I4" s="22">
        <f>IFERROR(INDEX(Deals!$K$4:$K$303,MATCH(LARGE(Deals!$S$4:$S$303,1),Deals!$S$4:$S$303,0))&amp;"","")</f>
        <v/>
      </c>
    </row>
    <row r="5" ht="30" customHeight="1">
      <c r="A5" s="27" t="n">
        <v>2</v>
      </c>
      <c r="B5" s="22">
        <f>IFERROR(INDEX(Deals!$A$4:$A$303,MATCH(LARGE(Deals!$S$4:$S$303,2),Deals!$S$4:$S$303,0))&amp;"","")</f>
        <v/>
      </c>
      <c r="C5" s="22">
        <f>IFERROR(INDEX(Deals!$B$4:$B$303,MATCH(LARGE(Deals!$S$4:$S$303,2),Deals!$S$4:$S$303,0))&amp;"","")</f>
        <v/>
      </c>
      <c r="D5" s="22">
        <f>IFERROR(INDEX(Deals!$C$4:$C$303,MATCH(LARGE(Deals!$S$4:$S$303,2),Deals!$S$4:$S$303,0))&amp;"","")</f>
        <v/>
      </c>
      <c r="E5" s="28">
        <f>IFERROR(INDEX(Deals!$D$4:$D$303,MATCH(LARGE(Deals!$S$4:$S$303,2),Deals!$S$4:$S$303,0)),"")</f>
        <v/>
      </c>
      <c r="F5" s="22">
        <f>IFERROR(INDEX(Deals!$L$4:$L$303,MATCH(LARGE(Deals!$S$4:$S$303,2),Deals!$S$4:$S$303,0)),"")</f>
        <v/>
      </c>
      <c r="G5" s="22">
        <f>IFERROR(INDEX(Deals!$Q$4:$Q$303,MATCH(LARGE(Deals!$S$4:$S$303,2),Deals!$S$4:$S$303,0)),"")</f>
        <v/>
      </c>
      <c r="H5" s="22">
        <f>IFERROR(INDEX(Deals!$R$4:$R$303,MATCH(LARGE(Deals!$S$4:$S$303,2),Deals!$S$4:$S$303,0))&amp;"","")</f>
        <v/>
      </c>
      <c r="I5" s="22">
        <f>IFERROR(INDEX(Deals!$K$4:$K$303,MATCH(LARGE(Deals!$S$4:$S$303,2),Deals!$S$4:$S$303,0))&amp;"","")</f>
        <v/>
      </c>
    </row>
    <row r="6" ht="30" customHeight="1">
      <c r="A6" s="27" t="n">
        <v>3</v>
      </c>
      <c r="B6" s="22">
        <f>IFERROR(INDEX(Deals!$A$4:$A$303,MATCH(LARGE(Deals!$S$4:$S$303,3),Deals!$S$4:$S$303,0))&amp;"","")</f>
        <v/>
      </c>
      <c r="C6" s="22">
        <f>IFERROR(INDEX(Deals!$B$4:$B$303,MATCH(LARGE(Deals!$S$4:$S$303,3),Deals!$S$4:$S$303,0))&amp;"","")</f>
        <v/>
      </c>
      <c r="D6" s="22">
        <f>IFERROR(INDEX(Deals!$C$4:$C$303,MATCH(LARGE(Deals!$S$4:$S$303,3),Deals!$S$4:$S$303,0))&amp;"","")</f>
        <v/>
      </c>
      <c r="E6" s="28">
        <f>IFERROR(INDEX(Deals!$D$4:$D$303,MATCH(LARGE(Deals!$S$4:$S$303,3),Deals!$S$4:$S$303,0)),"")</f>
        <v/>
      </c>
      <c r="F6" s="22">
        <f>IFERROR(INDEX(Deals!$L$4:$L$303,MATCH(LARGE(Deals!$S$4:$S$303,3),Deals!$S$4:$S$303,0)),"")</f>
        <v/>
      </c>
      <c r="G6" s="22">
        <f>IFERROR(INDEX(Deals!$Q$4:$Q$303,MATCH(LARGE(Deals!$S$4:$S$303,3),Deals!$S$4:$S$303,0)),"")</f>
        <v/>
      </c>
      <c r="H6" s="22">
        <f>IFERROR(INDEX(Deals!$R$4:$R$303,MATCH(LARGE(Deals!$S$4:$S$303,3),Deals!$S$4:$S$303,0))&amp;"","")</f>
        <v/>
      </c>
      <c r="I6" s="22">
        <f>IFERROR(INDEX(Deals!$K$4:$K$303,MATCH(LARGE(Deals!$S$4:$S$303,3),Deals!$S$4:$S$303,0))&amp;"","")</f>
        <v/>
      </c>
    </row>
    <row r="7" ht="30" customHeight="1">
      <c r="A7" s="27" t="n">
        <v>4</v>
      </c>
      <c r="B7" s="22">
        <f>IFERROR(INDEX(Deals!$A$4:$A$303,MATCH(LARGE(Deals!$S$4:$S$303,4),Deals!$S$4:$S$303,0))&amp;"","")</f>
        <v/>
      </c>
      <c r="C7" s="22">
        <f>IFERROR(INDEX(Deals!$B$4:$B$303,MATCH(LARGE(Deals!$S$4:$S$303,4),Deals!$S$4:$S$303,0))&amp;"","")</f>
        <v/>
      </c>
      <c r="D7" s="22">
        <f>IFERROR(INDEX(Deals!$C$4:$C$303,MATCH(LARGE(Deals!$S$4:$S$303,4),Deals!$S$4:$S$303,0))&amp;"","")</f>
        <v/>
      </c>
      <c r="E7" s="28">
        <f>IFERROR(INDEX(Deals!$D$4:$D$303,MATCH(LARGE(Deals!$S$4:$S$303,4),Deals!$S$4:$S$303,0)),"")</f>
        <v/>
      </c>
      <c r="F7" s="22">
        <f>IFERROR(INDEX(Deals!$L$4:$L$303,MATCH(LARGE(Deals!$S$4:$S$303,4),Deals!$S$4:$S$303,0)),"")</f>
        <v/>
      </c>
      <c r="G7" s="22">
        <f>IFERROR(INDEX(Deals!$Q$4:$Q$303,MATCH(LARGE(Deals!$S$4:$S$303,4),Deals!$S$4:$S$303,0)),"")</f>
        <v/>
      </c>
      <c r="H7" s="22">
        <f>IFERROR(INDEX(Deals!$R$4:$R$303,MATCH(LARGE(Deals!$S$4:$S$303,4),Deals!$S$4:$S$303,0))&amp;"","")</f>
        <v/>
      </c>
      <c r="I7" s="22">
        <f>IFERROR(INDEX(Deals!$K$4:$K$303,MATCH(LARGE(Deals!$S$4:$S$303,4),Deals!$S$4:$S$303,0))&amp;"","")</f>
        <v/>
      </c>
    </row>
    <row r="8" ht="30" customHeight="1">
      <c r="A8" s="27" t="n">
        <v>5</v>
      </c>
      <c r="B8" s="22">
        <f>IFERROR(INDEX(Deals!$A$4:$A$303,MATCH(LARGE(Deals!$S$4:$S$303,5),Deals!$S$4:$S$303,0))&amp;"","")</f>
        <v/>
      </c>
      <c r="C8" s="22">
        <f>IFERROR(INDEX(Deals!$B$4:$B$303,MATCH(LARGE(Deals!$S$4:$S$303,5),Deals!$S$4:$S$303,0))&amp;"","")</f>
        <v/>
      </c>
      <c r="D8" s="22">
        <f>IFERROR(INDEX(Deals!$C$4:$C$303,MATCH(LARGE(Deals!$S$4:$S$303,5),Deals!$S$4:$S$303,0))&amp;"","")</f>
        <v/>
      </c>
      <c r="E8" s="28">
        <f>IFERROR(INDEX(Deals!$D$4:$D$303,MATCH(LARGE(Deals!$S$4:$S$303,5),Deals!$S$4:$S$303,0)),"")</f>
        <v/>
      </c>
      <c r="F8" s="22">
        <f>IFERROR(INDEX(Deals!$L$4:$L$303,MATCH(LARGE(Deals!$S$4:$S$303,5),Deals!$S$4:$S$303,0)),"")</f>
        <v/>
      </c>
      <c r="G8" s="22">
        <f>IFERROR(INDEX(Deals!$Q$4:$Q$303,MATCH(LARGE(Deals!$S$4:$S$303,5),Deals!$S$4:$S$303,0)),"")</f>
        <v/>
      </c>
      <c r="H8" s="22">
        <f>IFERROR(INDEX(Deals!$R$4:$R$303,MATCH(LARGE(Deals!$S$4:$S$303,5),Deals!$S$4:$S$303,0))&amp;"","")</f>
        <v/>
      </c>
      <c r="I8" s="22">
        <f>IFERROR(INDEX(Deals!$K$4:$K$303,MATCH(LARGE(Deals!$S$4:$S$303,5),Deals!$S$4:$S$303,0))&amp;"","")</f>
        <v/>
      </c>
    </row>
    <row r="9" ht="30" customHeight="1">
      <c r="A9" s="27" t="n">
        <v>6</v>
      </c>
      <c r="B9" s="22">
        <f>IFERROR(INDEX(Deals!$A$4:$A$303,MATCH(LARGE(Deals!$S$4:$S$303,6),Deals!$S$4:$S$303,0))&amp;"","")</f>
        <v/>
      </c>
      <c r="C9" s="22">
        <f>IFERROR(INDEX(Deals!$B$4:$B$303,MATCH(LARGE(Deals!$S$4:$S$303,6),Deals!$S$4:$S$303,0))&amp;"","")</f>
        <v/>
      </c>
      <c r="D9" s="22">
        <f>IFERROR(INDEX(Deals!$C$4:$C$303,MATCH(LARGE(Deals!$S$4:$S$303,6),Deals!$S$4:$S$303,0))&amp;"","")</f>
        <v/>
      </c>
      <c r="E9" s="28">
        <f>IFERROR(INDEX(Deals!$D$4:$D$303,MATCH(LARGE(Deals!$S$4:$S$303,6),Deals!$S$4:$S$303,0)),"")</f>
        <v/>
      </c>
      <c r="F9" s="22">
        <f>IFERROR(INDEX(Deals!$L$4:$L$303,MATCH(LARGE(Deals!$S$4:$S$303,6),Deals!$S$4:$S$303,0)),"")</f>
        <v/>
      </c>
      <c r="G9" s="22">
        <f>IFERROR(INDEX(Deals!$Q$4:$Q$303,MATCH(LARGE(Deals!$S$4:$S$303,6),Deals!$S$4:$S$303,0)),"")</f>
        <v/>
      </c>
      <c r="H9" s="22">
        <f>IFERROR(INDEX(Deals!$R$4:$R$303,MATCH(LARGE(Deals!$S$4:$S$303,6),Deals!$S$4:$S$303,0))&amp;"","")</f>
        <v/>
      </c>
      <c r="I9" s="22">
        <f>IFERROR(INDEX(Deals!$K$4:$K$303,MATCH(LARGE(Deals!$S$4:$S$303,6),Deals!$S$4:$S$303,0))&amp;"","")</f>
        <v/>
      </c>
    </row>
    <row r="10" ht="30" customHeight="1">
      <c r="A10" s="27" t="n">
        <v>7</v>
      </c>
      <c r="B10" s="22">
        <f>IFERROR(INDEX(Deals!$A$4:$A$303,MATCH(LARGE(Deals!$S$4:$S$303,7),Deals!$S$4:$S$303,0))&amp;"","")</f>
        <v/>
      </c>
      <c r="C10" s="22">
        <f>IFERROR(INDEX(Deals!$B$4:$B$303,MATCH(LARGE(Deals!$S$4:$S$303,7),Deals!$S$4:$S$303,0))&amp;"","")</f>
        <v/>
      </c>
      <c r="D10" s="22">
        <f>IFERROR(INDEX(Deals!$C$4:$C$303,MATCH(LARGE(Deals!$S$4:$S$303,7),Deals!$S$4:$S$303,0))&amp;"","")</f>
        <v/>
      </c>
      <c r="E10" s="28">
        <f>IFERROR(INDEX(Deals!$D$4:$D$303,MATCH(LARGE(Deals!$S$4:$S$303,7),Deals!$S$4:$S$303,0)),"")</f>
        <v/>
      </c>
      <c r="F10" s="22">
        <f>IFERROR(INDEX(Deals!$L$4:$L$303,MATCH(LARGE(Deals!$S$4:$S$303,7),Deals!$S$4:$S$303,0)),"")</f>
        <v/>
      </c>
      <c r="G10" s="22">
        <f>IFERROR(INDEX(Deals!$Q$4:$Q$303,MATCH(LARGE(Deals!$S$4:$S$303,7),Deals!$S$4:$S$303,0)),"")</f>
        <v/>
      </c>
      <c r="H10" s="22">
        <f>IFERROR(INDEX(Deals!$R$4:$R$303,MATCH(LARGE(Deals!$S$4:$S$303,7),Deals!$S$4:$S$303,0))&amp;"","")</f>
        <v/>
      </c>
      <c r="I10" s="22">
        <f>IFERROR(INDEX(Deals!$K$4:$K$303,MATCH(LARGE(Deals!$S$4:$S$303,7),Deals!$S$4:$S$303,0))&amp;"","")</f>
        <v/>
      </c>
    </row>
    <row r="11" ht="30" customHeight="1">
      <c r="A11" s="27" t="n">
        <v>8</v>
      </c>
      <c r="B11" s="22">
        <f>IFERROR(INDEX(Deals!$A$4:$A$303,MATCH(LARGE(Deals!$S$4:$S$303,8),Deals!$S$4:$S$303,0))&amp;"","")</f>
        <v/>
      </c>
      <c r="C11" s="22">
        <f>IFERROR(INDEX(Deals!$B$4:$B$303,MATCH(LARGE(Deals!$S$4:$S$303,8),Deals!$S$4:$S$303,0))&amp;"","")</f>
        <v/>
      </c>
      <c r="D11" s="22">
        <f>IFERROR(INDEX(Deals!$C$4:$C$303,MATCH(LARGE(Deals!$S$4:$S$303,8),Deals!$S$4:$S$303,0))&amp;"","")</f>
        <v/>
      </c>
      <c r="E11" s="28">
        <f>IFERROR(INDEX(Deals!$D$4:$D$303,MATCH(LARGE(Deals!$S$4:$S$303,8),Deals!$S$4:$S$303,0)),"")</f>
        <v/>
      </c>
      <c r="F11" s="22">
        <f>IFERROR(INDEX(Deals!$L$4:$L$303,MATCH(LARGE(Deals!$S$4:$S$303,8),Deals!$S$4:$S$303,0)),"")</f>
        <v/>
      </c>
      <c r="G11" s="22">
        <f>IFERROR(INDEX(Deals!$Q$4:$Q$303,MATCH(LARGE(Deals!$S$4:$S$303,8),Deals!$S$4:$S$303,0)),"")</f>
        <v/>
      </c>
      <c r="H11" s="22">
        <f>IFERROR(INDEX(Deals!$R$4:$R$303,MATCH(LARGE(Deals!$S$4:$S$303,8),Deals!$S$4:$S$303,0))&amp;"","")</f>
        <v/>
      </c>
      <c r="I11" s="22">
        <f>IFERROR(INDEX(Deals!$K$4:$K$303,MATCH(LARGE(Deals!$S$4:$S$303,8),Deals!$S$4:$S$303,0))&amp;"","")</f>
        <v/>
      </c>
    </row>
    <row r="12" ht="30" customHeight="1">
      <c r="A12" s="27" t="n">
        <v>9</v>
      </c>
      <c r="B12" s="22">
        <f>IFERROR(INDEX(Deals!$A$4:$A$303,MATCH(LARGE(Deals!$S$4:$S$303,9),Deals!$S$4:$S$303,0))&amp;"","")</f>
        <v/>
      </c>
      <c r="C12" s="22">
        <f>IFERROR(INDEX(Deals!$B$4:$B$303,MATCH(LARGE(Deals!$S$4:$S$303,9),Deals!$S$4:$S$303,0))&amp;"","")</f>
        <v/>
      </c>
      <c r="D12" s="22">
        <f>IFERROR(INDEX(Deals!$C$4:$C$303,MATCH(LARGE(Deals!$S$4:$S$303,9),Deals!$S$4:$S$303,0))&amp;"","")</f>
        <v/>
      </c>
      <c r="E12" s="28">
        <f>IFERROR(INDEX(Deals!$D$4:$D$303,MATCH(LARGE(Deals!$S$4:$S$303,9),Deals!$S$4:$S$303,0)),"")</f>
        <v/>
      </c>
      <c r="F12" s="22">
        <f>IFERROR(INDEX(Deals!$L$4:$L$303,MATCH(LARGE(Deals!$S$4:$S$303,9),Deals!$S$4:$S$303,0)),"")</f>
        <v/>
      </c>
      <c r="G12" s="22">
        <f>IFERROR(INDEX(Deals!$Q$4:$Q$303,MATCH(LARGE(Deals!$S$4:$S$303,9),Deals!$S$4:$S$303,0)),"")</f>
        <v/>
      </c>
      <c r="H12" s="22">
        <f>IFERROR(INDEX(Deals!$R$4:$R$303,MATCH(LARGE(Deals!$S$4:$S$303,9),Deals!$S$4:$S$303,0))&amp;"","")</f>
        <v/>
      </c>
      <c r="I12" s="22">
        <f>IFERROR(INDEX(Deals!$K$4:$K$303,MATCH(LARGE(Deals!$S$4:$S$303,9),Deals!$S$4:$S$303,0))&amp;"","")</f>
        <v/>
      </c>
    </row>
    <row r="13" ht="30" customHeight="1">
      <c r="A13" s="27" t="n">
        <v>10</v>
      </c>
      <c r="B13" s="22">
        <f>IFERROR(INDEX(Deals!$A$4:$A$303,MATCH(LARGE(Deals!$S$4:$S$303,10),Deals!$S$4:$S$303,0))&amp;"","")</f>
        <v/>
      </c>
      <c r="C13" s="22">
        <f>IFERROR(INDEX(Deals!$B$4:$B$303,MATCH(LARGE(Deals!$S$4:$S$303,10),Deals!$S$4:$S$303,0))&amp;"","")</f>
        <v/>
      </c>
      <c r="D13" s="22">
        <f>IFERROR(INDEX(Deals!$C$4:$C$303,MATCH(LARGE(Deals!$S$4:$S$303,10),Deals!$S$4:$S$303,0))&amp;"","")</f>
        <v/>
      </c>
      <c r="E13" s="28">
        <f>IFERROR(INDEX(Deals!$D$4:$D$303,MATCH(LARGE(Deals!$S$4:$S$303,10),Deals!$S$4:$S$303,0)),"")</f>
        <v/>
      </c>
      <c r="F13" s="22">
        <f>IFERROR(INDEX(Deals!$L$4:$L$303,MATCH(LARGE(Deals!$S$4:$S$303,10),Deals!$S$4:$S$303,0)),"")</f>
        <v/>
      </c>
      <c r="G13" s="22">
        <f>IFERROR(INDEX(Deals!$Q$4:$Q$303,MATCH(LARGE(Deals!$S$4:$S$303,10),Deals!$S$4:$S$303,0)),"")</f>
        <v/>
      </c>
      <c r="H13" s="22">
        <f>IFERROR(INDEX(Deals!$R$4:$R$303,MATCH(LARGE(Deals!$S$4:$S$303,10),Deals!$S$4:$S$303,0))&amp;"","")</f>
        <v/>
      </c>
      <c r="I13" s="22">
        <f>IFERROR(INDEX(Deals!$K$4:$K$303,MATCH(LARGE(Deals!$S$4:$S$303,10),Deals!$S$4:$S$303,0))&amp;"","")</f>
        <v/>
      </c>
    </row>
    <row r="15">
      <c r="A15" s="18" t="inlineStr">
        <is>
          <t>To restart a conversation, lead with something new and useful, not "just checking in". Look at what has changed for them since you last spoke.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</cols>
  <sheetData>
    <row r="1">
      <c r="A1" s="9" t="inlineStr">
        <is>
          <t>Where your pipeline is hiding</t>
        </is>
      </c>
    </row>
    <row r="3" ht="30" customHeight="1">
      <c r="A3" s="10" t="inlineStr">
        <is>
          <t>Status</t>
        </is>
      </c>
      <c r="B3" s="10" t="inlineStr">
        <is>
          <t>Deals</t>
        </is>
      </c>
      <c r="C3" s="10" t="inlineStr">
        <is>
          <t>Value</t>
        </is>
      </c>
    </row>
    <row r="4">
      <c r="A4" s="29" t="inlineStr">
        <is>
          <t>Active</t>
        </is>
      </c>
      <c r="B4" s="30">
        <f>COUNTIF(Deals!$P$4:$P$303,A4)</f>
        <v/>
      </c>
      <c r="C4" s="31">
        <f>SUMIF(Deals!$P$4:$P$303,A4,Deals!$D$4:$D$303)</f>
        <v/>
      </c>
    </row>
    <row r="5">
      <c r="A5" s="29" t="inlineStr">
        <is>
          <t>Dormant</t>
        </is>
      </c>
      <c r="B5" s="30">
        <f>COUNTIF(Deals!$P$4:$P$303,A5)</f>
        <v/>
      </c>
      <c r="C5" s="31">
        <f>SUMIF(Deals!$P$4:$P$303,A5,Deals!$D$4:$D$303)</f>
        <v/>
      </c>
    </row>
    <row r="6">
      <c r="A6" s="29" t="inlineStr">
        <is>
          <t>Likely dead</t>
        </is>
      </c>
      <c r="B6" s="30">
        <f>COUNTIF(Deals!$P$4:$P$303,A6)</f>
        <v/>
      </c>
      <c r="C6" s="31">
        <f>SUMIF(Deals!$P$4:$P$303,A6,Deals!$D$4:$D$303)</f>
        <v/>
      </c>
    </row>
    <row r="7">
      <c r="A7" s="29" t="inlineStr">
        <is>
          <t>Check dates</t>
        </is>
      </c>
      <c r="B7" s="30">
        <f>COUNTIF(Deals!$P$4:$P$303,A7)</f>
        <v/>
      </c>
      <c r="C7" s="31">
        <f>SUMIF(Deals!$P$4:$P$303,A7,Deals!$D$4:$D$303)</f>
        <v/>
      </c>
    </row>
    <row r="10">
      <c r="A10" s="12" t="inlineStr">
        <is>
          <t>Value in deals to re-engage now</t>
        </is>
      </c>
      <c r="B10" s="32">
        <f>SUMIF(Deals!$R$4:$R$303,"Re-engage now",Deals!$D$4:$D$303)</f>
        <v/>
      </c>
    </row>
    <row r="11">
      <c r="A11" s="12" t="inlineStr">
        <is>
          <t>Deals to re-engage now</t>
        </is>
      </c>
      <c r="B11" s="32">
        <f>COUNTIF(Deals!$R$4:$R$303,"Re-engage now")</f>
        <v/>
      </c>
    </row>
    <row r="12">
      <c r="A12" s="12" t="inlineStr">
        <is>
          <t>Deals where CRM activity hides no buyer contact</t>
        </is>
      </c>
      <c r="B12" s="32">
        <f>COUNTIF(Deals!$O$4:$O$303,"CRM*")</f>
        <v/>
      </c>
    </row>
    <row r="13">
      <c r="A13" s="12" t="inlineStr">
        <is>
          <t>Average days since buyer contact (open deals)</t>
        </is>
      </c>
      <c r="B13" s="32">
        <f>IFERROR(AVERAGEIFS(Deals!$L$4:$L$303,Deals!$P$4:$P$303,"&lt;&gt;Closed"),"")</f>
        <v/>
      </c>
    </row>
    <row r="15" ht="44" customHeight="1">
      <c r="A15" s="6" t="inlineStr">
        <is>
          <t>Read it like this: the value in "re-engage now" is revenue that may only need a conversation. The value in "likely dead" is a clean-up job that will make your forecast more honest.</t>
        </is>
      </c>
    </row>
  </sheetData>
  <mergeCells count="1"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2026-11-07T12:56:52Z</dcterms:created>
  <dcterms:modified xmlns:dcterms="http://purl.org/dc/terms/" xmlns:xsi="http://www.w3.org/2001/XMLSchema-instance" xsi:type="dcterms:W3CDTF">2026-11-07T12:56:53Z</dcterms:modified>
</cp:coreProperties>
</file>