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eights" sheetId="2" state="visible" r:id="rId2"/>
    <sheet xmlns:r="http://schemas.openxmlformats.org/officeDocument/2006/relationships" name="Accounts" sheetId="3" state="visible" r:id="rId3"/>
    <sheet xmlns:r="http://schemas.openxmlformats.org/officeDocument/2006/relationships" name="Ranked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"/>
    <numFmt numFmtId="165" formatCode="0.0"/>
  </numFmts>
  <fonts count="16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b val="1"/>
      <color rgb="00D71A0F"/>
      <sz val="10"/>
    </font>
    <font>
      <name val="Calibri"/>
      <color rgb="000B0D10"/>
      <sz val="10"/>
    </font>
    <font>
      <name val="Calibri"/>
      <color rgb="00999999"/>
      <sz val="8"/>
    </font>
  </fonts>
  <fills count="7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0" fillId="3" borderId="0" pivotButton="0" quotePrefix="0" xfId="0"/>
    <xf numFmtId="0" fontId="11" fillId="0" borderId="1" applyAlignment="1" pivotButton="0" quotePrefix="0" xfId="0">
      <alignment horizontal="left" vertical="top" wrapText="1"/>
    </xf>
    <xf numFmtId="9" fontId="5" fillId="4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3" fontId="5" fillId="4" borderId="1" applyAlignment="1" pivotButton="0" quotePrefix="0" xfId="0">
      <alignment horizontal="center" vertical="top" wrapText="1"/>
    </xf>
    <xf numFmtId="1" fontId="5" fillId="4" borderId="1" applyAlignment="1" pivotButton="0" quotePrefix="0" xfId="0">
      <alignment horizontal="center" vertical="top" wrapText="1"/>
    </xf>
    <xf numFmtId="0" fontId="11" fillId="5" borderId="1" applyAlignment="1" pivotButton="0" quotePrefix="0" xfId="0">
      <alignment horizontal="left" vertical="top" wrapText="1"/>
    </xf>
    <xf numFmtId="9" fontId="12" fillId="0" borderId="1" pivotButton="0" quotePrefix="0" xfId="0"/>
    <xf numFmtId="0" fontId="13" fillId="0" borderId="0" pivotButton="0" quotePrefix="0" xfId="0"/>
    <xf numFmtId="0" fontId="12" fillId="0" borderId="0" pivotButton="0" quotePrefix="0" xfId="0"/>
    <xf numFmtId="0" fontId="5" fillId="4" borderId="1" applyAlignment="1" pivotButton="0" quotePrefix="0" xfId="0">
      <alignment horizontal="left" vertical="top" wrapText="1"/>
    </xf>
    <xf numFmtId="0" fontId="6" fillId="0" borderId="0" pivotButton="0" quotePrefix="0" xfId="0"/>
    <xf numFmtId="0" fontId="6" fillId="6" borderId="1" applyAlignment="1" pivotButton="0" quotePrefix="0" xfId="0">
      <alignment vertical="top" wrapText="1"/>
    </xf>
    <xf numFmtId="164" fontId="6" fillId="6" borderId="1" applyAlignment="1" pivotButton="0" quotePrefix="0" xfId="0">
      <alignment vertical="top" wrapText="1"/>
    </xf>
    <xf numFmtId="3" fontId="6" fillId="6" borderId="1" applyAlignment="1" pivotButton="0" quotePrefix="0" xfId="0">
      <alignment vertical="top" wrapText="1"/>
    </xf>
    <xf numFmtId="165" fontId="14" fillId="0" borderId="1" applyAlignment="1" pivotButton="0" quotePrefix="0" xfId="0">
      <alignment vertical="top" wrapText="1"/>
    </xf>
    <xf numFmtId="0" fontId="14" fillId="0" borderId="1" applyAlignment="1" pivotButton="0" quotePrefix="0" xfId="0">
      <alignment vertical="top" wrapText="1"/>
    </xf>
    <xf numFmtId="9" fontId="14" fillId="0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4" fillId="4" borderId="1" applyAlignment="1" pivotButton="0" quotePrefix="0" xfId="0">
      <alignment vertical="top" wrapText="1"/>
    </xf>
    <xf numFmtId="164" fontId="14" fillId="4" borderId="1" applyAlignment="1" pivotButton="0" quotePrefix="0" xfId="0">
      <alignment vertical="top" wrapText="1"/>
    </xf>
    <xf numFmtId="3" fontId="14" fillId="4" borderId="1" applyAlignment="1" pivotButton="0" quotePrefix="0" xfId="0">
      <alignment vertical="top" wrapText="1"/>
    </xf>
    <xf numFmtId="0" fontId="13" fillId="0" borderId="0" applyAlignment="1" pivotButton="0" quotePrefix="0" xfId="0">
      <alignment horizontal="center" vertical="top"/>
    </xf>
    <xf numFmtId="0" fontId="12" fillId="0" borderId="1" pivotButton="0" quotePrefix="0" xfId="0"/>
    <xf numFmtId="9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ont>
        <name val="Calibri"/>
        <b val="1"/>
      </font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50-Account Prioritisation Engine</t>
        </is>
      </c>
    </row>
    <row r="4" ht="34" customHeight="1">
      <c r="B4" s="3" t="inlineStr">
        <is>
          <t>Score up to 50 target accounts on fit, evidenced triggers, urgency, access and value. Get a ranked list, tiers and a first action for each.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Weights, check the five weights add up to 100%, and set your tier thresholds. The defaults are a starting point.</t>
        </is>
      </c>
    </row>
    <row r="8" ht="32" customHeight="1">
      <c r="B8" s="5" t="inlineStr">
        <is>
          <t>2.  On Accounts, delete the grey examples and enter your own. Score fit, urgency and access from 1 to 5. Record the trigger with its date, confidence and source.</t>
        </is>
      </c>
    </row>
    <row r="9" ht="32" customHeight="1">
      <c r="B9" s="5" t="inlineStr">
        <is>
          <t>3.  Triggers count for less when they are old or unverified. Mark a clear disqualifier with Y and the account drops out regardless of score.</t>
        </is>
      </c>
    </row>
    <row r="10" ht="32" customHeight="1">
      <c r="B10" s="5" t="inlineStr">
        <is>
          <t>4.  Open Ranked for your order of play. Work Tier A first.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2" max="2"/>
    <col width="3" customWidth="1" min="3" max="3"/>
    <col width="40" customWidth="1" min="4" max="4"/>
    <col width="12" customWidth="1" min="5" max="5"/>
  </cols>
  <sheetData>
    <row r="1">
      <c r="A1" s="9" t="inlineStr">
        <is>
          <t>Weights and rules</t>
        </is>
      </c>
    </row>
    <row r="3" ht="30" customHeight="1">
      <c r="A3" s="10" t="inlineStr">
        <is>
          <t>Criterion</t>
        </is>
      </c>
      <c r="B3" s="10" t="inlineStr">
        <is>
          <t>Weight</t>
        </is>
      </c>
      <c r="D3" s="11" t="inlineStr">
        <is>
          <t>Setting</t>
        </is>
      </c>
      <c r="E3" s="11" t="inlineStr">
        <is>
          <t>Value</t>
        </is>
      </c>
    </row>
    <row r="4">
      <c r="A4" s="12" t="inlineStr">
        <is>
          <t>Fit with your ICP</t>
        </is>
      </c>
      <c r="B4" s="13" t="n">
        <v>0.3</v>
      </c>
      <c r="D4" s="14" t="inlineStr">
        <is>
          <t>Tier A: score at or above</t>
        </is>
      </c>
      <c r="E4" s="13" t="n">
        <v>0.75</v>
      </c>
    </row>
    <row r="5">
      <c r="A5" s="12" t="inlineStr">
        <is>
          <t>Why-now trigger</t>
        </is>
      </c>
      <c r="B5" s="13" t="n">
        <v>0.25</v>
      </c>
      <c r="D5" s="14" t="inlineStr">
        <is>
          <t>Tier B: score at or above</t>
        </is>
      </c>
      <c r="E5" s="13" t="n">
        <v>0.55</v>
      </c>
    </row>
    <row r="6">
      <c r="A6" s="12" t="inlineStr">
        <is>
          <t>Urgency</t>
        </is>
      </c>
      <c r="B6" s="13" t="n">
        <v>0.15</v>
      </c>
      <c r="D6" s="14" t="inlineStr">
        <is>
          <t>Deal value that earns a 5 for value</t>
        </is>
      </c>
      <c r="E6" s="15" t="n">
        <v>50000</v>
      </c>
    </row>
    <row r="7">
      <c r="A7" s="12" t="inlineStr">
        <is>
          <t>Access</t>
        </is>
      </c>
      <c r="B7" s="13" t="n">
        <v>0.15</v>
      </c>
      <c r="D7" s="14" t="inlineStr">
        <is>
          <t>Trigger recent: within (days)</t>
        </is>
      </c>
      <c r="E7" s="16" t="n">
        <v>30</v>
      </c>
    </row>
    <row r="8">
      <c r="A8" s="12" t="inlineStr">
        <is>
          <t>Potential value</t>
        </is>
      </c>
      <c r="B8" s="13" t="n">
        <v>0.15</v>
      </c>
      <c r="D8" s="14" t="inlineStr">
        <is>
          <t>Trigger ageing: within (days)</t>
        </is>
      </c>
      <c r="E8" s="16" t="n">
        <v>90</v>
      </c>
    </row>
    <row r="9">
      <c r="A9" s="17" t="inlineStr">
        <is>
          <t>Total</t>
        </is>
      </c>
      <c r="B9" s="18">
        <f>SUM(B4:B8)</f>
        <v/>
      </c>
    </row>
    <row r="10">
      <c r="A10" s="19">
        <f>IF(ROUND(B9,4)=1,"Weights add up to 100%. Good.","Weights must add up to 100%.")</f>
        <v/>
      </c>
      <c r="D10" s="11" t="inlineStr">
        <is>
          <t>Trigger confidence</t>
        </is>
      </c>
      <c r="E10" s="11" t="inlineStr">
        <is>
          <t>Counts as</t>
        </is>
      </c>
    </row>
    <row r="11">
      <c r="D11" s="14" t="inlineStr">
        <is>
          <t>Confirmed</t>
        </is>
      </c>
      <c r="E11" s="13" t="n">
        <v>1</v>
      </c>
    </row>
    <row r="12">
      <c r="A12" s="20" t="inlineStr">
        <is>
          <t>First action by tier</t>
        </is>
      </c>
      <c r="D12" s="14" t="inlineStr">
        <is>
          <t>Probable</t>
        </is>
      </c>
      <c r="E12" s="13" t="n">
        <v>0.7</v>
      </c>
    </row>
    <row r="13">
      <c r="A13" s="12" t="inlineStr">
        <is>
          <t>A</t>
        </is>
      </c>
      <c r="B13" s="21" t="inlineStr">
        <is>
          <t>Personal, researched outreach this week. Use your best channel and your best message.</t>
        </is>
      </c>
      <c r="D13" s="14" t="inlineStr">
        <is>
          <t>Unverified</t>
        </is>
      </c>
      <c r="E13" s="13" t="n">
        <v>0.4</v>
      </c>
    </row>
    <row r="14">
      <c r="A14" s="12" t="inlineStr">
        <is>
          <t>B</t>
        </is>
      </c>
      <c r="B14" s="21" t="inlineStr">
        <is>
          <t>Add to the next batch. Research one more detail first.</t>
        </is>
      </c>
    </row>
    <row r="15">
      <c r="A15" s="12" t="inlineStr">
        <is>
          <t>C</t>
        </is>
      </c>
      <c r="B15" s="21" t="inlineStr">
        <is>
          <t>Hold. Revisit when a new trigger appears.</t>
        </is>
      </c>
      <c r="D15" s="11" t="inlineStr">
        <is>
          <t>Trigger age</t>
        </is>
      </c>
      <c r="E15" s="11" t="inlineStr">
        <is>
          <t>Counts as</t>
        </is>
      </c>
    </row>
    <row r="16">
      <c r="A16" s="12" t="inlineStr">
        <is>
          <t>Excluded</t>
        </is>
      </c>
      <c r="B16" s="21" t="inlineStr">
        <is>
          <t>Do not contact. A disqualifier applies.</t>
        </is>
      </c>
      <c r="D16" s="14" t="inlineStr">
        <is>
          <t>Recent</t>
        </is>
      </c>
      <c r="E16" s="13" t="n">
        <v>1</v>
      </c>
    </row>
    <row r="17">
      <c r="D17" s="14" t="inlineStr">
        <is>
          <t>Ageing</t>
        </is>
      </c>
      <c r="E17" s="13" t="n">
        <v>0.8</v>
      </c>
    </row>
    <row r="18">
      <c r="D18" s="14" t="inlineStr">
        <is>
          <t>Old</t>
        </is>
      </c>
      <c r="E18" s="13" t="n">
        <v>0.5</v>
      </c>
    </row>
  </sheetData>
  <mergeCells count="4">
    <mergeCell ref="B16"/>
    <mergeCell ref="B14"/>
    <mergeCell ref="B15"/>
    <mergeCell ref="B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5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1" customWidth="1" min="3" max="3"/>
    <col width="8" customWidth="1" min="4" max="4"/>
    <col width="30" customWidth="1" min="5" max="5"/>
    <col width="11" customWidth="1" min="6" max="6"/>
    <col width="12" customWidth="1" min="7" max="7"/>
    <col width="22" customWidth="1" min="8" max="8"/>
    <col width="9" customWidth="1" min="9" max="9"/>
    <col width="9" customWidth="1" min="10" max="10"/>
    <col width="9" customWidth="1" min="11" max="11"/>
    <col width="22" customWidth="1" min="12" max="12"/>
    <col width="13" customWidth="1" min="13" max="13"/>
    <col width="12" customWidth="1" min="14" max="14"/>
    <col width="10" customWidth="1" min="15" max="15"/>
    <col width="8" customWidth="1" min="16" max="16"/>
    <col width="8" customWidth="1" min="17" max="17"/>
    <col width="9" customWidth="1" min="18" max="18"/>
    <col width="7" customWidth="1" min="19" max="19"/>
    <col width="6" customWidth="1" min="20" max="20"/>
    <col width="44" customWidth="1" min="21" max="21"/>
    <col width="24" customWidth="1" min="22" max="22"/>
  </cols>
  <sheetData>
    <row r="1">
      <c r="A1" s="22" t="inlineStr">
        <is>
          <t>Enter up to 50 accounts in the yellow cells. The grey cells on the right calculate the score, tier and order.</t>
        </is>
      </c>
    </row>
    <row r="3" ht="44" customHeight="1">
      <c r="A3" s="10" t="inlineStr">
        <is>
          <t>Account</t>
        </is>
      </c>
      <c r="B3" s="10" t="inlineStr">
        <is>
          <t>Segment</t>
        </is>
      </c>
      <c r="C3" s="10" t="inlineStr">
        <is>
          <t>Disqualified? (Y)</t>
        </is>
      </c>
      <c r="D3" s="10" t="inlineStr">
        <is>
          <t>Fit (1-5)</t>
        </is>
      </c>
      <c r="E3" s="10" t="inlineStr">
        <is>
          <t>Trigger observed</t>
        </is>
      </c>
      <c r="F3" s="10" t="inlineStr">
        <is>
          <t>Trigger date</t>
        </is>
      </c>
      <c r="G3" s="10" t="inlineStr">
        <is>
          <t>Confidence</t>
        </is>
      </c>
      <c r="H3" s="10" t="inlineStr">
        <is>
          <t>Source (URL or note)</t>
        </is>
      </c>
      <c r="I3" s="10" t="inlineStr">
        <is>
          <t>Why-now (1-5)</t>
        </is>
      </c>
      <c r="J3" s="10" t="inlineStr">
        <is>
          <t>Urgency (1-5)</t>
        </is>
      </c>
      <c r="K3" s="10" t="inlineStr">
        <is>
          <t>Access (1-5)</t>
        </is>
      </c>
      <c r="L3" s="10" t="inlineStr">
        <is>
          <t>Named contacts</t>
        </is>
      </c>
      <c r="M3" s="10" t="inlineStr">
        <is>
          <t>Relationship</t>
        </is>
      </c>
      <c r="N3" s="10" t="inlineStr">
        <is>
          <t>Potential value</t>
        </is>
      </c>
      <c r="O3" s="10" t="inlineStr">
        <is>
          <t>Adjusted why-now</t>
        </is>
      </c>
      <c r="P3" s="10" t="inlineStr">
        <is>
          <t>Value score</t>
        </is>
      </c>
      <c r="Q3" s="10" t="inlineStr">
        <is>
          <t>Score</t>
        </is>
      </c>
      <c r="R3" s="10" t="inlineStr">
        <is>
          <t>Tier</t>
        </is>
      </c>
      <c r="S3" s="10" t="inlineStr">
        <is>
          <t>Rank helper</t>
        </is>
      </c>
      <c r="T3" s="10" t="inlineStr">
        <is>
          <t>Rank</t>
        </is>
      </c>
      <c r="U3" s="10" t="inlineStr">
        <is>
          <t>First action</t>
        </is>
      </c>
      <c r="V3" s="10" t="inlineStr">
        <is>
          <t>Flags</t>
        </is>
      </c>
    </row>
    <row r="4">
      <c r="A4" s="23" t="inlineStr">
        <is>
          <t>Example: Acme Ltd (delete)</t>
        </is>
      </c>
      <c r="B4" s="23" t="inlineStr">
        <is>
          <t>Mid-market SaaS</t>
        </is>
      </c>
      <c r="C4" s="23" t="n"/>
      <c r="D4" s="23" t="n">
        <v>5</v>
      </c>
      <c r="E4" s="23" t="inlineStr">
        <is>
          <t>New Head of Sales started</t>
        </is>
      </c>
      <c r="F4" s="24">
        <f>TODAY()-20</f>
        <v/>
      </c>
      <c r="G4" s="23" t="inlineStr">
        <is>
          <t>Confirmed</t>
        </is>
      </c>
      <c r="H4" s="23" t="inlineStr">
        <is>
          <t>Company news page</t>
        </is>
      </c>
      <c r="I4" s="23" t="n">
        <v>4</v>
      </c>
      <c r="J4" s="23" t="n">
        <v>4</v>
      </c>
      <c r="K4" s="23" t="n">
        <v>4</v>
      </c>
      <c r="L4" s="23" t="inlineStr">
        <is>
          <t>Head of Sales; CEO</t>
        </is>
      </c>
      <c r="M4" s="23" t="inlineStr">
        <is>
          <t>Cold touch</t>
        </is>
      </c>
      <c r="N4" s="25" t="n">
        <v>60000</v>
      </c>
      <c r="O4" s="26">
        <f>IF(OR(I4="",G4=""),IF(I4="","",I4*0.4),I4*IFERROR(VLOOKUP(G4,Weights!$D$11:$E$13,2,FALSE),0.4)*IF(F4="",1,IF(TODAY()-F4&lt;=Weights!$E$7,Weights!$E$16,IF(TODAY()-F4&lt;=Weights!$E$8,Weights!$E$17,Weights!$E$18))))</f>
        <v/>
      </c>
      <c r="P4" s="27">
        <f>IF(N4="","",MIN(5,MAX(1,ROUND(5*N4/Weights!$E$6,0))))</f>
        <v/>
      </c>
      <c r="Q4" s="28">
        <f>IF(OR(A4="",C4="Y",D4="",O4="",J4="",K4="",P4=""),"",(D4*Weights!$B$4+O4*Weights!$B$5+J4*Weights!$B$6+K4*Weights!$B$7+P4*Weights!$B$8)/5)</f>
        <v/>
      </c>
      <c r="R4" s="27">
        <f>IF(A4="","",IF(C4="Y","Excluded",IF(Q4="","Incomplete",IF(Q4&gt;=Weights!$E$4,"A",IF(Q4&gt;=Weights!$E$5,"B","C")))))</f>
        <v/>
      </c>
      <c r="S4" s="29">
        <f>IF(Q4="","",Q4+ROW()/10000000)</f>
        <v/>
      </c>
      <c r="T4" s="27">
        <f>IF(S4="","",RANK(S4,$S$4:$S$53))</f>
        <v/>
      </c>
      <c r="U4" s="27">
        <f>IF(R4="","",IFERROR(VLOOKUP(R4,Weights!$A$13:$B$16,2,FALSE),""))</f>
        <v/>
      </c>
      <c r="V4" s="27">
        <f>IF(A4="","",TRIM(IF(AND(E4&lt;&gt;"",H4=""),"Add a source. ","")&amp;IF(AND(E4="",C4&lt;&gt;"Y"),"No trigger recorded. ","")&amp;IF(AND(K4&lt;&gt;"",K4&lt;=2,Q4&lt;&gt;"",Q4&gt;=Weights!$E$4),"High score, hard to reach. ","")))</f>
        <v/>
      </c>
    </row>
    <row r="5">
      <c r="A5" s="23" t="inlineStr">
        <is>
          <t>Example: Northwind (delete)</t>
        </is>
      </c>
      <c r="B5" s="23" t="inlineStr">
        <is>
          <t>Mid-market SaaS</t>
        </is>
      </c>
      <c r="C5" s="23" t="n"/>
      <c r="D5" s="23" t="n">
        <v>4</v>
      </c>
      <c r="E5" s="23" t="inlineStr">
        <is>
          <t>Opened first SDR role</t>
        </is>
      </c>
      <c r="F5" s="24">
        <f>TODAY()-75</f>
        <v/>
      </c>
      <c r="G5" s="23" t="inlineStr">
        <is>
          <t>Probable</t>
        </is>
      </c>
      <c r="H5" s="23" t="inlineStr">
        <is>
          <t>Job board</t>
        </is>
      </c>
      <c r="I5" s="23" t="n">
        <v>3</v>
      </c>
      <c r="J5" s="23" t="n">
        <v>3</v>
      </c>
      <c r="K5" s="23" t="n">
        <v>2</v>
      </c>
      <c r="L5" s="23" t="inlineStr">
        <is>
          <t>Founder</t>
        </is>
      </c>
      <c r="M5" s="23" t="inlineStr">
        <is>
          <t>None</t>
        </is>
      </c>
      <c r="N5" s="25" t="n">
        <v>25000</v>
      </c>
      <c r="O5" s="26">
        <f>IF(OR(I5="",G5=""),IF(I5="","",I5*0.4),I5*IFERROR(VLOOKUP(G5,Weights!$D$11:$E$13,2,FALSE),0.4)*IF(F5="",1,IF(TODAY()-F5&lt;=Weights!$E$7,Weights!$E$16,IF(TODAY()-F5&lt;=Weights!$E$8,Weights!$E$17,Weights!$E$18))))</f>
        <v/>
      </c>
      <c r="P5" s="27">
        <f>IF(N5="","",MIN(5,MAX(1,ROUND(5*N5/Weights!$E$6,0))))</f>
        <v/>
      </c>
      <c r="Q5" s="28">
        <f>IF(OR(A5="",C5="Y",D5="",O5="",J5="",K5="",P5=""),"",(D5*Weights!$B$4+O5*Weights!$B$5+J5*Weights!$B$6+K5*Weights!$B$7+P5*Weights!$B$8)/5)</f>
        <v/>
      </c>
      <c r="R5" s="27">
        <f>IF(A5="","",IF(C5="Y","Excluded",IF(Q5="","Incomplete",IF(Q5&gt;=Weights!$E$4,"A",IF(Q5&gt;=Weights!$E$5,"B","C")))))</f>
        <v/>
      </c>
      <c r="S5" s="29">
        <f>IF(Q5="","",Q5+ROW()/10000000)</f>
        <v/>
      </c>
      <c r="T5" s="27">
        <f>IF(S5="","",RANK(S5,$S$4:$S$53))</f>
        <v/>
      </c>
      <c r="U5" s="27">
        <f>IF(R5="","",IFERROR(VLOOKUP(R5,Weights!$A$13:$B$16,2,FALSE),""))</f>
        <v/>
      </c>
      <c r="V5" s="27">
        <f>IF(A5="","",TRIM(IF(AND(E5&lt;&gt;"",H5=""),"Add a source. ","")&amp;IF(AND(E5="",C5&lt;&gt;"Y"),"No trigger recorded. ","")&amp;IF(AND(K5&lt;&gt;"",K5&lt;=2,Q5&lt;&gt;"",Q5&gt;=Weights!$E$4),"High score, hard to reach. ","")))</f>
        <v/>
      </c>
    </row>
    <row r="6">
      <c r="A6" s="23" t="inlineStr">
        <is>
          <t>Example: Globex (delete)</t>
        </is>
      </c>
      <c r="B6" s="23" t="inlineStr">
        <is>
          <t>Enterprise</t>
        </is>
      </c>
      <c r="C6" s="23" t="n"/>
      <c r="D6" s="23" t="n">
        <v>3</v>
      </c>
      <c r="E6" s="23" t="inlineStr">
        <is>
          <t>Announced new region</t>
        </is>
      </c>
      <c r="F6" s="24">
        <f>TODAY()-150</f>
        <v/>
      </c>
      <c r="G6" s="23" t="inlineStr">
        <is>
          <t>Unverified</t>
        </is>
      </c>
      <c r="H6" s="23" t="n"/>
      <c r="I6" s="23" t="n">
        <v>3</v>
      </c>
      <c r="J6" s="23" t="n">
        <v>2</v>
      </c>
      <c r="K6" s="23" t="n">
        <v>1</v>
      </c>
      <c r="L6" s="23" t="n"/>
      <c r="M6" s="23" t="inlineStr">
        <is>
          <t>None</t>
        </is>
      </c>
      <c r="N6" s="25" t="n">
        <v>120000</v>
      </c>
      <c r="O6" s="26">
        <f>IF(OR(I6="",G6=""),IF(I6="","",I6*0.4),I6*IFERROR(VLOOKUP(G6,Weights!$D$11:$E$13,2,FALSE),0.4)*IF(F6="",1,IF(TODAY()-F6&lt;=Weights!$E$7,Weights!$E$16,IF(TODAY()-F6&lt;=Weights!$E$8,Weights!$E$17,Weights!$E$18))))</f>
        <v/>
      </c>
      <c r="P6" s="27">
        <f>IF(N6="","",MIN(5,MAX(1,ROUND(5*N6/Weights!$E$6,0))))</f>
        <v/>
      </c>
      <c r="Q6" s="28">
        <f>IF(OR(A6="",C6="Y",D6="",O6="",J6="",K6="",P6=""),"",(D6*Weights!$B$4+O6*Weights!$B$5+J6*Weights!$B$6+K6*Weights!$B$7+P6*Weights!$B$8)/5)</f>
        <v/>
      </c>
      <c r="R6" s="27">
        <f>IF(A6="","",IF(C6="Y","Excluded",IF(Q6="","Incomplete",IF(Q6&gt;=Weights!$E$4,"A",IF(Q6&gt;=Weights!$E$5,"B","C")))))</f>
        <v/>
      </c>
      <c r="S6" s="29">
        <f>IF(Q6="","",Q6+ROW()/10000000)</f>
        <v/>
      </c>
      <c r="T6" s="27">
        <f>IF(S6="","",RANK(S6,$S$4:$S$53))</f>
        <v/>
      </c>
      <c r="U6" s="27">
        <f>IF(R6="","",IFERROR(VLOOKUP(R6,Weights!$A$13:$B$16,2,FALSE),""))</f>
        <v/>
      </c>
      <c r="V6" s="27">
        <f>IF(A6="","",TRIM(IF(AND(E6&lt;&gt;"",H6=""),"Add a source. ","")&amp;IF(AND(E6="",C6&lt;&gt;"Y"),"No trigger recorded. ","")&amp;IF(AND(K6&lt;&gt;"",K6&lt;=2,Q6&lt;&gt;"",Q6&gt;=Weights!$E$4),"High score, hard to reach. ","")))</f>
        <v/>
      </c>
    </row>
    <row r="7">
      <c r="A7" s="23" t="inlineStr">
        <is>
          <t>Example: Initech (delete)</t>
        </is>
      </c>
      <c r="B7" s="23" t="inlineStr">
        <is>
          <t>SMB</t>
        </is>
      </c>
      <c r="C7" s="23" t="inlineStr">
        <is>
          <t>Y</t>
        </is>
      </c>
      <c r="D7" s="23" t="n">
        <v>2</v>
      </c>
      <c r="E7" s="23" t="n"/>
      <c r="F7" s="24" t="n"/>
      <c r="G7" s="23" t="n"/>
      <c r="H7" s="23" t="n"/>
      <c r="I7" s="23" t="n"/>
      <c r="J7" s="23" t="n"/>
      <c r="K7" s="23" t="n"/>
      <c r="L7" s="23" t="n"/>
      <c r="M7" s="23" t="inlineStr">
        <is>
          <t>None</t>
        </is>
      </c>
      <c r="N7" s="25" t="n">
        <v>5000</v>
      </c>
      <c r="O7" s="26">
        <f>IF(OR(I7="",G7=""),IF(I7="","",I7*0.4),I7*IFERROR(VLOOKUP(G7,Weights!$D$11:$E$13,2,FALSE),0.4)*IF(F7="",1,IF(TODAY()-F7&lt;=Weights!$E$7,Weights!$E$16,IF(TODAY()-F7&lt;=Weights!$E$8,Weights!$E$17,Weights!$E$18))))</f>
        <v/>
      </c>
      <c r="P7" s="27">
        <f>IF(N7="","",MIN(5,MAX(1,ROUND(5*N7/Weights!$E$6,0))))</f>
        <v/>
      </c>
      <c r="Q7" s="28">
        <f>IF(OR(A7="",C7="Y",D7="",O7="",J7="",K7="",P7=""),"",(D7*Weights!$B$4+O7*Weights!$B$5+J7*Weights!$B$6+K7*Weights!$B$7+P7*Weights!$B$8)/5)</f>
        <v/>
      </c>
      <c r="R7" s="27">
        <f>IF(A7="","",IF(C7="Y","Excluded",IF(Q7="","Incomplete",IF(Q7&gt;=Weights!$E$4,"A",IF(Q7&gt;=Weights!$E$5,"B","C")))))</f>
        <v/>
      </c>
      <c r="S7" s="29">
        <f>IF(Q7="","",Q7+ROW()/10000000)</f>
        <v/>
      </c>
      <c r="T7" s="27">
        <f>IF(S7="","",RANK(S7,$S$4:$S$53))</f>
        <v/>
      </c>
      <c r="U7" s="27">
        <f>IF(R7="","",IFERROR(VLOOKUP(R7,Weights!$A$13:$B$16,2,FALSE),""))</f>
        <v/>
      </c>
      <c r="V7" s="27">
        <f>IF(A7="","",TRIM(IF(AND(E7&lt;&gt;"",H7=""),"Add a source. ","")&amp;IF(AND(E7="",C7&lt;&gt;"Y"),"No trigger recorded. ","")&amp;IF(AND(K7&lt;&gt;"",K7&lt;=2,Q7&lt;&gt;"",Q7&gt;=Weights!$E$4),"High score, hard to reach. ","")))</f>
        <v/>
      </c>
    </row>
    <row r="8">
      <c r="A8" s="30" t="n"/>
      <c r="B8" s="30" t="n"/>
      <c r="C8" s="30" t="n"/>
      <c r="D8" s="30" t="n"/>
      <c r="E8" s="30" t="n"/>
      <c r="F8" s="31" t="n"/>
      <c r="G8" s="30" t="n"/>
      <c r="H8" s="30" t="n"/>
      <c r="I8" s="30" t="n"/>
      <c r="J8" s="30" t="n"/>
      <c r="K8" s="30" t="n"/>
      <c r="L8" s="30" t="n"/>
      <c r="M8" s="30" t="n"/>
      <c r="N8" s="32" t="n"/>
      <c r="O8" s="26">
        <f>IF(OR(I8="",G8=""),IF(I8="","",I8*0.4),I8*IFERROR(VLOOKUP(G8,Weights!$D$11:$E$13,2,FALSE),0.4)*IF(F8="",1,IF(TODAY()-F8&lt;=Weights!$E$7,Weights!$E$16,IF(TODAY()-F8&lt;=Weights!$E$8,Weights!$E$17,Weights!$E$18))))</f>
        <v/>
      </c>
      <c r="P8" s="27">
        <f>IF(N8="","",MIN(5,MAX(1,ROUND(5*N8/Weights!$E$6,0))))</f>
        <v/>
      </c>
      <c r="Q8" s="28">
        <f>IF(OR(A8="",C8="Y",D8="",O8="",J8="",K8="",P8=""),"",(D8*Weights!$B$4+O8*Weights!$B$5+J8*Weights!$B$6+K8*Weights!$B$7+P8*Weights!$B$8)/5)</f>
        <v/>
      </c>
      <c r="R8" s="27">
        <f>IF(A8="","",IF(C8="Y","Excluded",IF(Q8="","Incomplete",IF(Q8&gt;=Weights!$E$4,"A",IF(Q8&gt;=Weights!$E$5,"B","C")))))</f>
        <v/>
      </c>
      <c r="S8" s="29">
        <f>IF(Q8="","",Q8+ROW()/10000000)</f>
        <v/>
      </c>
      <c r="T8" s="27">
        <f>IF(S8="","",RANK(S8,$S$4:$S$53))</f>
        <v/>
      </c>
      <c r="U8" s="27">
        <f>IF(R8="","",IFERROR(VLOOKUP(R8,Weights!$A$13:$B$16,2,FALSE),""))</f>
        <v/>
      </c>
      <c r="V8" s="27">
        <f>IF(A8="","",TRIM(IF(AND(E8&lt;&gt;"",H8=""),"Add a source. ","")&amp;IF(AND(E8="",C8&lt;&gt;"Y"),"No trigger recorded. ","")&amp;IF(AND(K8&lt;&gt;"",K8&lt;=2,Q8&lt;&gt;"",Q8&gt;=Weights!$E$4),"High score, hard to reach. ","")))</f>
        <v/>
      </c>
    </row>
    <row r="9">
      <c r="A9" s="30" t="n"/>
      <c r="B9" s="30" t="n"/>
      <c r="C9" s="30" t="n"/>
      <c r="D9" s="30" t="n"/>
      <c r="E9" s="30" t="n"/>
      <c r="F9" s="31" t="n"/>
      <c r="G9" s="30" t="n"/>
      <c r="H9" s="30" t="n"/>
      <c r="I9" s="30" t="n"/>
      <c r="J9" s="30" t="n"/>
      <c r="K9" s="30" t="n"/>
      <c r="L9" s="30" t="n"/>
      <c r="M9" s="30" t="n"/>
      <c r="N9" s="32" t="n"/>
      <c r="O9" s="26">
        <f>IF(OR(I9="",G9=""),IF(I9="","",I9*0.4),I9*IFERROR(VLOOKUP(G9,Weights!$D$11:$E$13,2,FALSE),0.4)*IF(F9="",1,IF(TODAY()-F9&lt;=Weights!$E$7,Weights!$E$16,IF(TODAY()-F9&lt;=Weights!$E$8,Weights!$E$17,Weights!$E$18))))</f>
        <v/>
      </c>
      <c r="P9" s="27">
        <f>IF(N9="","",MIN(5,MAX(1,ROUND(5*N9/Weights!$E$6,0))))</f>
        <v/>
      </c>
      <c r="Q9" s="28">
        <f>IF(OR(A9="",C9="Y",D9="",O9="",J9="",K9="",P9=""),"",(D9*Weights!$B$4+O9*Weights!$B$5+J9*Weights!$B$6+K9*Weights!$B$7+P9*Weights!$B$8)/5)</f>
        <v/>
      </c>
      <c r="R9" s="27">
        <f>IF(A9="","",IF(C9="Y","Excluded",IF(Q9="","Incomplete",IF(Q9&gt;=Weights!$E$4,"A",IF(Q9&gt;=Weights!$E$5,"B","C")))))</f>
        <v/>
      </c>
      <c r="S9" s="29">
        <f>IF(Q9="","",Q9+ROW()/10000000)</f>
        <v/>
      </c>
      <c r="T9" s="27">
        <f>IF(S9="","",RANK(S9,$S$4:$S$53))</f>
        <v/>
      </c>
      <c r="U9" s="27">
        <f>IF(R9="","",IFERROR(VLOOKUP(R9,Weights!$A$13:$B$16,2,FALSE),""))</f>
        <v/>
      </c>
      <c r="V9" s="27">
        <f>IF(A9="","",TRIM(IF(AND(E9&lt;&gt;"",H9=""),"Add a source. ","")&amp;IF(AND(E9="",C9&lt;&gt;"Y"),"No trigger recorded. ","")&amp;IF(AND(K9&lt;&gt;"",K9&lt;=2,Q9&lt;&gt;"",Q9&gt;=Weights!$E$4),"High score, hard to reach. ","")))</f>
        <v/>
      </c>
    </row>
    <row r="10">
      <c r="A10" s="30" t="n"/>
      <c r="B10" s="30" t="n"/>
      <c r="C10" s="30" t="n"/>
      <c r="D10" s="30" t="n"/>
      <c r="E10" s="30" t="n"/>
      <c r="F10" s="31" t="n"/>
      <c r="G10" s="30" t="n"/>
      <c r="H10" s="30" t="n"/>
      <c r="I10" s="30" t="n"/>
      <c r="J10" s="30" t="n"/>
      <c r="K10" s="30" t="n"/>
      <c r="L10" s="30" t="n"/>
      <c r="M10" s="30" t="n"/>
      <c r="N10" s="32" t="n"/>
      <c r="O10" s="26">
        <f>IF(OR(I10="",G10=""),IF(I10="","",I10*0.4),I10*IFERROR(VLOOKUP(G10,Weights!$D$11:$E$13,2,FALSE),0.4)*IF(F10="",1,IF(TODAY()-F10&lt;=Weights!$E$7,Weights!$E$16,IF(TODAY()-F10&lt;=Weights!$E$8,Weights!$E$17,Weights!$E$18))))</f>
        <v/>
      </c>
      <c r="P10" s="27">
        <f>IF(N10="","",MIN(5,MAX(1,ROUND(5*N10/Weights!$E$6,0))))</f>
        <v/>
      </c>
      <c r="Q10" s="28">
        <f>IF(OR(A10="",C10="Y",D10="",O10="",J10="",K10="",P10=""),"",(D10*Weights!$B$4+O10*Weights!$B$5+J10*Weights!$B$6+K10*Weights!$B$7+P10*Weights!$B$8)/5)</f>
        <v/>
      </c>
      <c r="R10" s="27">
        <f>IF(A10="","",IF(C10="Y","Excluded",IF(Q10="","Incomplete",IF(Q10&gt;=Weights!$E$4,"A",IF(Q10&gt;=Weights!$E$5,"B","C")))))</f>
        <v/>
      </c>
      <c r="S10" s="29">
        <f>IF(Q10="","",Q10+ROW()/10000000)</f>
        <v/>
      </c>
      <c r="T10" s="27">
        <f>IF(S10="","",RANK(S10,$S$4:$S$53))</f>
        <v/>
      </c>
      <c r="U10" s="27">
        <f>IF(R10="","",IFERROR(VLOOKUP(R10,Weights!$A$13:$B$16,2,FALSE),""))</f>
        <v/>
      </c>
      <c r="V10" s="27">
        <f>IF(A10="","",TRIM(IF(AND(E10&lt;&gt;"",H10=""),"Add a source. ","")&amp;IF(AND(E10="",C10&lt;&gt;"Y"),"No trigger recorded. ","")&amp;IF(AND(K10&lt;&gt;"",K10&lt;=2,Q10&lt;&gt;"",Q10&gt;=Weights!$E$4),"High score, hard to reach. ","")))</f>
        <v/>
      </c>
    </row>
    <row r="11">
      <c r="A11" s="30" t="n"/>
      <c r="B11" s="30" t="n"/>
      <c r="C11" s="30" t="n"/>
      <c r="D11" s="30" t="n"/>
      <c r="E11" s="30" t="n"/>
      <c r="F11" s="31" t="n"/>
      <c r="G11" s="30" t="n"/>
      <c r="H11" s="30" t="n"/>
      <c r="I11" s="30" t="n"/>
      <c r="J11" s="30" t="n"/>
      <c r="K11" s="30" t="n"/>
      <c r="L11" s="30" t="n"/>
      <c r="M11" s="30" t="n"/>
      <c r="N11" s="32" t="n"/>
      <c r="O11" s="26">
        <f>IF(OR(I11="",G11=""),IF(I11="","",I11*0.4),I11*IFERROR(VLOOKUP(G11,Weights!$D$11:$E$13,2,FALSE),0.4)*IF(F11="",1,IF(TODAY()-F11&lt;=Weights!$E$7,Weights!$E$16,IF(TODAY()-F11&lt;=Weights!$E$8,Weights!$E$17,Weights!$E$18))))</f>
        <v/>
      </c>
      <c r="P11" s="27">
        <f>IF(N11="","",MIN(5,MAX(1,ROUND(5*N11/Weights!$E$6,0))))</f>
        <v/>
      </c>
      <c r="Q11" s="28">
        <f>IF(OR(A11="",C11="Y",D11="",O11="",J11="",K11="",P11=""),"",(D11*Weights!$B$4+O11*Weights!$B$5+J11*Weights!$B$6+K11*Weights!$B$7+P11*Weights!$B$8)/5)</f>
        <v/>
      </c>
      <c r="R11" s="27">
        <f>IF(A11="","",IF(C11="Y","Excluded",IF(Q11="","Incomplete",IF(Q11&gt;=Weights!$E$4,"A",IF(Q11&gt;=Weights!$E$5,"B","C")))))</f>
        <v/>
      </c>
      <c r="S11" s="29">
        <f>IF(Q11="","",Q11+ROW()/10000000)</f>
        <v/>
      </c>
      <c r="T11" s="27">
        <f>IF(S11="","",RANK(S11,$S$4:$S$53))</f>
        <v/>
      </c>
      <c r="U11" s="27">
        <f>IF(R11="","",IFERROR(VLOOKUP(R11,Weights!$A$13:$B$16,2,FALSE),""))</f>
        <v/>
      </c>
      <c r="V11" s="27">
        <f>IF(A11="","",TRIM(IF(AND(E11&lt;&gt;"",H11=""),"Add a source. ","")&amp;IF(AND(E11="",C11&lt;&gt;"Y"),"No trigger recorded. ","")&amp;IF(AND(K11&lt;&gt;"",K11&lt;=2,Q11&lt;&gt;"",Q11&gt;=Weights!$E$4),"High score, hard to reach. ","")))</f>
        <v/>
      </c>
    </row>
    <row r="12">
      <c r="A12" s="30" t="n"/>
      <c r="B12" s="30" t="n"/>
      <c r="C12" s="30" t="n"/>
      <c r="D12" s="30" t="n"/>
      <c r="E12" s="30" t="n"/>
      <c r="F12" s="31" t="n"/>
      <c r="G12" s="30" t="n"/>
      <c r="H12" s="30" t="n"/>
      <c r="I12" s="30" t="n"/>
      <c r="J12" s="30" t="n"/>
      <c r="K12" s="30" t="n"/>
      <c r="L12" s="30" t="n"/>
      <c r="M12" s="30" t="n"/>
      <c r="N12" s="32" t="n"/>
      <c r="O12" s="26">
        <f>IF(OR(I12="",G12=""),IF(I12="","",I12*0.4),I12*IFERROR(VLOOKUP(G12,Weights!$D$11:$E$13,2,FALSE),0.4)*IF(F12="",1,IF(TODAY()-F12&lt;=Weights!$E$7,Weights!$E$16,IF(TODAY()-F12&lt;=Weights!$E$8,Weights!$E$17,Weights!$E$18))))</f>
        <v/>
      </c>
      <c r="P12" s="27">
        <f>IF(N12="","",MIN(5,MAX(1,ROUND(5*N12/Weights!$E$6,0))))</f>
        <v/>
      </c>
      <c r="Q12" s="28">
        <f>IF(OR(A12="",C12="Y",D12="",O12="",J12="",K12="",P12=""),"",(D12*Weights!$B$4+O12*Weights!$B$5+J12*Weights!$B$6+K12*Weights!$B$7+P12*Weights!$B$8)/5)</f>
        <v/>
      </c>
      <c r="R12" s="27">
        <f>IF(A12="","",IF(C12="Y","Excluded",IF(Q12="","Incomplete",IF(Q12&gt;=Weights!$E$4,"A",IF(Q12&gt;=Weights!$E$5,"B","C")))))</f>
        <v/>
      </c>
      <c r="S12" s="29">
        <f>IF(Q12="","",Q12+ROW()/10000000)</f>
        <v/>
      </c>
      <c r="T12" s="27">
        <f>IF(S12="","",RANK(S12,$S$4:$S$53))</f>
        <v/>
      </c>
      <c r="U12" s="27">
        <f>IF(R12="","",IFERROR(VLOOKUP(R12,Weights!$A$13:$B$16,2,FALSE),""))</f>
        <v/>
      </c>
      <c r="V12" s="27">
        <f>IF(A12="","",TRIM(IF(AND(E12&lt;&gt;"",H12=""),"Add a source. ","")&amp;IF(AND(E12="",C12&lt;&gt;"Y"),"No trigger recorded. ","")&amp;IF(AND(K12&lt;&gt;"",K12&lt;=2,Q12&lt;&gt;"",Q12&gt;=Weights!$E$4),"High score, hard to reach. ","")))</f>
        <v/>
      </c>
    </row>
    <row r="13">
      <c r="A13" s="30" t="n"/>
      <c r="B13" s="30" t="n"/>
      <c r="C13" s="30" t="n"/>
      <c r="D13" s="30" t="n"/>
      <c r="E13" s="30" t="n"/>
      <c r="F13" s="31" t="n"/>
      <c r="G13" s="30" t="n"/>
      <c r="H13" s="30" t="n"/>
      <c r="I13" s="30" t="n"/>
      <c r="J13" s="30" t="n"/>
      <c r="K13" s="30" t="n"/>
      <c r="L13" s="30" t="n"/>
      <c r="M13" s="30" t="n"/>
      <c r="N13" s="32" t="n"/>
      <c r="O13" s="26">
        <f>IF(OR(I13="",G13=""),IF(I13="","",I13*0.4),I13*IFERROR(VLOOKUP(G13,Weights!$D$11:$E$13,2,FALSE),0.4)*IF(F13="",1,IF(TODAY()-F13&lt;=Weights!$E$7,Weights!$E$16,IF(TODAY()-F13&lt;=Weights!$E$8,Weights!$E$17,Weights!$E$18))))</f>
        <v/>
      </c>
      <c r="P13" s="27">
        <f>IF(N13="","",MIN(5,MAX(1,ROUND(5*N13/Weights!$E$6,0))))</f>
        <v/>
      </c>
      <c r="Q13" s="28">
        <f>IF(OR(A13="",C13="Y",D13="",O13="",J13="",K13="",P13=""),"",(D13*Weights!$B$4+O13*Weights!$B$5+J13*Weights!$B$6+K13*Weights!$B$7+P13*Weights!$B$8)/5)</f>
        <v/>
      </c>
      <c r="R13" s="27">
        <f>IF(A13="","",IF(C13="Y","Excluded",IF(Q13="","Incomplete",IF(Q13&gt;=Weights!$E$4,"A",IF(Q13&gt;=Weights!$E$5,"B","C")))))</f>
        <v/>
      </c>
      <c r="S13" s="29">
        <f>IF(Q13="","",Q13+ROW()/10000000)</f>
        <v/>
      </c>
      <c r="T13" s="27">
        <f>IF(S13="","",RANK(S13,$S$4:$S$53))</f>
        <v/>
      </c>
      <c r="U13" s="27">
        <f>IF(R13="","",IFERROR(VLOOKUP(R13,Weights!$A$13:$B$16,2,FALSE),""))</f>
        <v/>
      </c>
      <c r="V13" s="27">
        <f>IF(A13="","",TRIM(IF(AND(E13&lt;&gt;"",H13=""),"Add a source. ","")&amp;IF(AND(E13="",C13&lt;&gt;"Y"),"No trigger recorded. ","")&amp;IF(AND(K13&lt;&gt;"",K13&lt;=2,Q13&lt;&gt;"",Q13&gt;=Weights!$E$4),"High score, hard to reach. ","")))</f>
        <v/>
      </c>
    </row>
    <row r="14">
      <c r="A14" s="30" t="n"/>
      <c r="B14" s="30" t="n"/>
      <c r="C14" s="30" t="n"/>
      <c r="D14" s="30" t="n"/>
      <c r="E14" s="30" t="n"/>
      <c r="F14" s="31" t="n"/>
      <c r="G14" s="30" t="n"/>
      <c r="H14" s="30" t="n"/>
      <c r="I14" s="30" t="n"/>
      <c r="J14" s="30" t="n"/>
      <c r="K14" s="30" t="n"/>
      <c r="L14" s="30" t="n"/>
      <c r="M14" s="30" t="n"/>
      <c r="N14" s="32" t="n"/>
      <c r="O14" s="26">
        <f>IF(OR(I14="",G14=""),IF(I14="","",I14*0.4),I14*IFERROR(VLOOKUP(G14,Weights!$D$11:$E$13,2,FALSE),0.4)*IF(F14="",1,IF(TODAY()-F14&lt;=Weights!$E$7,Weights!$E$16,IF(TODAY()-F14&lt;=Weights!$E$8,Weights!$E$17,Weights!$E$18))))</f>
        <v/>
      </c>
      <c r="P14" s="27">
        <f>IF(N14="","",MIN(5,MAX(1,ROUND(5*N14/Weights!$E$6,0))))</f>
        <v/>
      </c>
      <c r="Q14" s="28">
        <f>IF(OR(A14="",C14="Y",D14="",O14="",J14="",K14="",P14=""),"",(D14*Weights!$B$4+O14*Weights!$B$5+J14*Weights!$B$6+K14*Weights!$B$7+P14*Weights!$B$8)/5)</f>
        <v/>
      </c>
      <c r="R14" s="27">
        <f>IF(A14="","",IF(C14="Y","Excluded",IF(Q14="","Incomplete",IF(Q14&gt;=Weights!$E$4,"A",IF(Q14&gt;=Weights!$E$5,"B","C")))))</f>
        <v/>
      </c>
      <c r="S14" s="29">
        <f>IF(Q14="","",Q14+ROW()/10000000)</f>
        <v/>
      </c>
      <c r="T14" s="27">
        <f>IF(S14="","",RANK(S14,$S$4:$S$53))</f>
        <v/>
      </c>
      <c r="U14" s="27">
        <f>IF(R14="","",IFERROR(VLOOKUP(R14,Weights!$A$13:$B$16,2,FALSE),""))</f>
        <v/>
      </c>
      <c r="V14" s="27">
        <f>IF(A14="","",TRIM(IF(AND(E14&lt;&gt;"",H14=""),"Add a source. ","")&amp;IF(AND(E14="",C14&lt;&gt;"Y"),"No trigger recorded. ","")&amp;IF(AND(K14&lt;&gt;"",K14&lt;=2,Q14&lt;&gt;"",Q14&gt;=Weights!$E$4),"High score, hard to reach. ","")))</f>
        <v/>
      </c>
    </row>
    <row r="15">
      <c r="A15" s="30" t="n"/>
      <c r="B15" s="30" t="n"/>
      <c r="C15" s="30" t="n"/>
      <c r="D15" s="30" t="n"/>
      <c r="E15" s="30" t="n"/>
      <c r="F15" s="31" t="n"/>
      <c r="G15" s="30" t="n"/>
      <c r="H15" s="30" t="n"/>
      <c r="I15" s="30" t="n"/>
      <c r="J15" s="30" t="n"/>
      <c r="K15" s="30" t="n"/>
      <c r="L15" s="30" t="n"/>
      <c r="M15" s="30" t="n"/>
      <c r="N15" s="32" t="n"/>
      <c r="O15" s="26">
        <f>IF(OR(I15="",G15=""),IF(I15="","",I15*0.4),I15*IFERROR(VLOOKUP(G15,Weights!$D$11:$E$13,2,FALSE),0.4)*IF(F15="",1,IF(TODAY()-F15&lt;=Weights!$E$7,Weights!$E$16,IF(TODAY()-F15&lt;=Weights!$E$8,Weights!$E$17,Weights!$E$18))))</f>
        <v/>
      </c>
      <c r="P15" s="27">
        <f>IF(N15="","",MIN(5,MAX(1,ROUND(5*N15/Weights!$E$6,0))))</f>
        <v/>
      </c>
      <c r="Q15" s="28">
        <f>IF(OR(A15="",C15="Y",D15="",O15="",J15="",K15="",P15=""),"",(D15*Weights!$B$4+O15*Weights!$B$5+J15*Weights!$B$6+K15*Weights!$B$7+P15*Weights!$B$8)/5)</f>
        <v/>
      </c>
      <c r="R15" s="27">
        <f>IF(A15="","",IF(C15="Y","Excluded",IF(Q15="","Incomplete",IF(Q15&gt;=Weights!$E$4,"A",IF(Q15&gt;=Weights!$E$5,"B","C")))))</f>
        <v/>
      </c>
      <c r="S15" s="29">
        <f>IF(Q15="","",Q15+ROW()/10000000)</f>
        <v/>
      </c>
      <c r="T15" s="27">
        <f>IF(S15="","",RANK(S15,$S$4:$S$53))</f>
        <v/>
      </c>
      <c r="U15" s="27">
        <f>IF(R15="","",IFERROR(VLOOKUP(R15,Weights!$A$13:$B$16,2,FALSE),""))</f>
        <v/>
      </c>
      <c r="V15" s="27">
        <f>IF(A15="","",TRIM(IF(AND(E15&lt;&gt;"",H15=""),"Add a source. ","")&amp;IF(AND(E15="",C15&lt;&gt;"Y"),"No trigger recorded. ","")&amp;IF(AND(K15&lt;&gt;"",K15&lt;=2,Q15&lt;&gt;"",Q15&gt;=Weights!$E$4),"High score, hard to reach. ","")))</f>
        <v/>
      </c>
    </row>
    <row r="16">
      <c r="A16" s="30" t="n"/>
      <c r="B16" s="30" t="n"/>
      <c r="C16" s="30" t="n"/>
      <c r="D16" s="30" t="n"/>
      <c r="E16" s="30" t="n"/>
      <c r="F16" s="31" t="n"/>
      <c r="G16" s="30" t="n"/>
      <c r="H16" s="30" t="n"/>
      <c r="I16" s="30" t="n"/>
      <c r="J16" s="30" t="n"/>
      <c r="K16" s="30" t="n"/>
      <c r="L16" s="30" t="n"/>
      <c r="M16" s="30" t="n"/>
      <c r="N16" s="32" t="n"/>
      <c r="O16" s="26">
        <f>IF(OR(I16="",G16=""),IF(I16="","",I16*0.4),I16*IFERROR(VLOOKUP(G16,Weights!$D$11:$E$13,2,FALSE),0.4)*IF(F16="",1,IF(TODAY()-F16&lt;=Weights!$E$7,Weights!$E$16,IF(TODAY()-F16&lt;=Weights!$E$8,Weights!$E$17,Weights!$E$18))))</f>
        <v/>
      </c>
      <c r="P16" s="27">
        <f>IF(N16="","",MIN(5,MAX(1,ROUND(5*N16/Weights!$E$6,0))))</f>
        <v/>
      </c>
      <c r="Q16" s="28">
        <f>IF(OR(A16="",C16="Y",D16="",O16="",J16="",K16="",P16=""),"",(D16*Weights!$B$4+O16*Weights!$B$5+J16*Weights!$B$6+K16*Weights!$B$7+P16*Weights!$B$8)/5)</f>
        <v/>
      </c>
      <c r="R16" s="27">
        <f>IF(A16="","",IF(C16="Y","Excluded",IF(Q16="","Incomplete",IF(Q16&gt;=Weights!$E$4,"A",IF(Q16&gt;=Weights!$E$5,"B","C")))))</f>
        <v/>
      </c>
      <c r="S16" s="29">
        <f>IF(Q16="","",Q16+ROW()/10000000)</f>
        <v/>
      </c>
      <c r="T16" s="27">
        <f>IF(S16="","",RANK(S16,$S$4:$S$53))</f>
        <v/>
      </c>
      <c r="U16" s="27">
        <f>IF(R16="","",IFERROR(VLOOKUP(R16,Weights!$A$13:$B$16,2,FALSE),""))</f>
        <v/>
      </c>
      <c r="V16" s="27">
        <f>IF(A16="","",TRIM(IF(AND(E16&lt;&gt;"",H16=""),"Add a source. ","")&amp;IF(AND(E16="",C16&lt;&gt;"Y"),"No trigger recorded. ","")&amp;IF(AND(K16&lt;&gt;"",K16&lt;=2,Q16&lt;&gt;"",Q16&gt;=Weights!$E$4),"High score, hard to reach. ","")))</f>
        <v/>
      </c>
    </row>
    <row r="17">
      <c r="A17" s="30" t="n"/>
      <c r="B17" s="30" t="n"/>
      <c r="C17" s="30" t="n"/>
      <c r="D17" s="30" t="n"/>
      <c r="E17" s="30" t="n"/>
      <c r="F17" s="31" t="n"/>
      <c r="G17" s="30" t="n"/>
      <c r="H17" s="30" t="n"/>
      <c r="I17" s="30" t="n"/>
      <c r="J17" s="30" t="n"/>
      <c r="K17" s="30" t="n"/>
      <c r="L17" s="30" t="n"/>
      <c r="M17" s="30" t="n"/>
      <c r="N17" s="32" t="n"/>
      <c r="O17" s="26">
        <f>IF(OR(I17="",G17=""),IF(I17="","",I17*0.4),I17*IFERROR(VLOOKUP(G17,Weights!$D$11:$E$13,2,FALSE),0.4)*IF(F17="",1,IF(TODAY()-F17&lt;=Weights!$E$7,Weights!$E$16,IF(TODAY()-F17&lt;=Weights!$E$8,Weights!$E$17,Weights!$E$18))))</f>
        <v/>
      </c>
      <c r="P17" s="27">
        <f>IF(N17="","",MIN(5,MAX(1,ROUND(5*N17/Weights!$E$6,0))))</f>
        <v/>
      </c>
      <c r="Q17" s="28">
        <f>IF(OR(A17="",C17="Y",D17="",O17="",J17="",K17="",P17=""),"",(D17*Weights!$B$4+O17*Weights!$B$5+J17*Weights!$B$6+K17*Weights!$B$7+P17*Weights!$B$8)/5)</f>
        <v/>
      </c>
      <c r="R17" s="27">
        <f>IF(A17="","",IF(C17="Y","Excluded",IF(Q17="","Incomplete",IF(Q17&gt;=Weights!$E$4,"A",IF(Q17&gt;=Weights!$E$5,"B","C")))))</f>
        <v/>
      </c>
      <c r="S17" s="29">
        <f>IF(Q17="","",Q17+ROW()/10000000)</f>
        <v/>
      </c>
      <c r="T17" s="27">
        <f>IF(S17="","",RANK(S17,$S$4:$S$53))</f>
        <v/>
      </c>
      <c r="U17" s="27">
        <f>IF(R17="","",IFERROR(VLOOKUP(R17,Weights!$A$13:$B$16,2,FALSE),""))</f>
        <v/>
      </c>
      <c r="V17" s="27">
        <f>IF(A17="","",TRIM(IF(AND(E17&lt;&gt;"",H17=""),"Add a source. ","")&amp;IF(AND(E17="",C17&lt;&gt;"Y"),"No trigger recorded. ","")&amp;IF(AND(K17&lt;&gt;"",K17&lt;=2,Q17&lt;&gt;"",Q17&gt;=Weights!$E$4),"High score, hard to reach. ","")))</f>
        <v/>
      </c>
    </row>
    <row r="18">
      <c r="A18" s="30" t="n"/>
      <c r="B18" s="30" t="n"/>
      <c r="C18" s="30" t="n"/>
      <c r="D18" s="30" t="n"/>
      <c r="E18" s="30" t="n"/>
      <c r="F18" s="31" t="n"/>
      <c r="G18" s="30" t="n"/>
      <c r="H18" s="30" t="n"/>
      <c r="I18" s="30" t="n"/>
      <c r="J18" s="30" t="n"/>
      <c r="K18" s="30" t="n"/>
      <c r="L18" s="30" t="n"/>
      <c r="M18" s="30" t="n"/>
      <c r="N18" s="32" t="n"/>
      <c r="O18" s="26">
        <f>IF(OR(I18="",G18=""),IF(I18="","",I18*0.4),I18*IFERROR(VLOOKUP(G18,Weights!$D$11:$E$13,2,FALSE),0.4)*IF(F18="",1,IF(TODAY()-F18&lt;=Weights!$E$7,Weights!$E$16,IF(TODAY()-F18&lt;=Weights!$E$8,Weights!$E$17,Weights!$E$18))))</f>
        <v/>
      </c>
      <c r="P18" s="27">
        <f>IF(N18="","",MIN(5,MAX(1,ROUND(5*N18/Weights!$E$6,0))))</f>
        <v/>
      </c>
      <c r="Q18" s="28">
        <f>IF(OR(A18="",C18="Y",D18="",O18="",J18="",K18="",P18=""),"",(D18*Weights!$B$4+O18*Weights!$B$5+J18*Weights!$B$6+K18*Weights!$B$7+P18*Weights!$B$8)/5)</f>
        <v/>
      </c>
      <c r="R18" s="27">
        <f>IF(A18="","",IF(C18="Y","Excluded",IF(Q18="","Incomplete",IF(Q18&gt;=Weights!$E$4,"A",IF(Q18&gt;=Weights!$E$5,"B","C")))))</f>
        <v/>
      </c>
      <c r="S18" s="29">
        <f>IF(Q18="","",Q18+ROW()/10000000)</f>
        <v/>
      </c>
      <c r="T18" s="27">
        <f>IF(S18="","",RANK(S18,$S$4:$S$53))</f>
        <v/>
      </c>
      <c r="U18" s="27">
        <f>IF(R18="","",IFERROR(VLOOKUP(R18,Weights!$A$13:$B$16,2,FALSE),""))</f>
        <v/>
      </c>
      <c r="V18" s="27">
        <f>IF(A18="","",TRIM(IF(AND(E18&lt;&gt;"",H18=""),"Add a source. ","")&amp;IF(AND(E18="",C18&lt;&gt;"Y"),"No trigger recorded. ","")&amp;IF(AND(K18&lt;&gt;"",K18&lt;=2,Q18&lt;&gt;"",Q18&gt;=Weights!$E$4),"High score, hard to reach. ","")))</f>
        <v/>
      </c>
    </row>
    <row r="19">
      <c r="A19" s="30" t="n"/>
      <c r="B19" s="30" t="n"/>
      <c r="C19" s="30" t="n"/>
      <c r="D19" s="30" t="n"/>
      <c r="E19" s="30" t="n"/>
      <c r="F19" s="31" t="n"/>
      <c r="G19" s="30" t="n"/>
      <c r="H19" s="30" t="n"/>
      <c r="I19" s="30" t="n"/>
      <c r="J19" s="30" t="n"/>
      <c r="K19" s="30" t="n"/>
      <c r="L19" s="30" t="n"/>
      <c r="M19" s="30" t="n"/>
      <c r="N19" s="32" t="n"/>
      <c r="O19" s="26">
        <f>IF(OR(I19="",G19=""),IF(I19="","",I19*0.4),I19*IFERROR(VLOOKUP(G19,Weights!$D$11:$E$13,2,FALSE),0.4)*IF(F19="",1,IF(TODAY()-F19&lt;=Weights!$E$7,Weights!$E$16,IF(TODAY()-F19&lt;=Weights!$E$8,Weights!$E$17,Weights!$E$18))))</f>
        <v/>
      </c>
      <c r="P19" s="27">
        <f>IF(N19="","",MIN(5,MAX(1,ROUND(5*N19/Weights!$E$6,0))))</f>
        <v/>
      </c>
      <c r="Q19" s="28">
        <f>IF(OR(A19="",C19="Y",D19="",O19="",J19="",K19="",P19=""),"",(D19*Weights!$B$4+O19*Weights!$B$5+J19*Weights!$B$6+K19*Weights!$B$7+P19*Weights!$B$8)/5)</f>
        <v/>
      </c>
      <c r="R19" s="27">
        <f>IF(A19="","",IF(C19="Y","Excluded",IF(Q19="","Incomplete",IF(Q19&gt;=Weights!$E$4,"A",IF(Q19&gt;=Weights!$E$5,"B","C")))))</f>
        <v/>
      </c>
      <c r="S19" s="29">
        <f>IF(Q19="","",Q19+ROW()/10000000)</f>
        <v/>
      </c>
      <c r="T19" s="27">
        <f>IF(S19="","",RANK(S19,$S$4:$S$53))</f>
        <v/>
      </c>
      <c r="U19" s="27">
        <f>IF(R19="","",IFERROR(VLOOKUP(R19,Weights!$A$13:$B$16,2,FALSE),""))</f>
        <v/>
      </c>
      <c r="V19" s="27">
        <f>IF(A19="","",TRIM(IF(AND(E19&lt;&gt;"",H19=""),"Add a source. ","")&amp;IF(AND(E19="",C19&lt;&gt;"Y"),"No trigger recorded. ","")&amp;IF(AND(K19&lt;&gt;"",K19&lt;=2,Q19&lt;&gt;"",Q19&gt;=Weights!$E$4),"High score, hard to reach. ","")))</f>
        <v/>
      </c>
    </row>
    <row r="20">
      <c r="A20" s="30" t="n"/>
      <c r="B20" s="30" t="n"/>
      <c r="C20" s="30" t="n"/>
      <c r="D20" s="30" t="n"/>
      <c r="E20" s="30" t="n"/>
      <c r="F20" s="31" t="n"/>
      <c r="G20" s="30" t="n"/>
      <c r="H20" s="30" t="n"/>
      <c r="I20" s="30" t="n"/>
      <c r="J20" s="30" t="n"/>
      <c r="K20" s="30" t="n"/>
      <c r="L20" s="30" t="n"/>
      <c r="M20" s="30" t="n"/>
      <c r="N20" s="32" t="n"/>
      <c r="O20" s="26">
        <f>IF(OR(I20="",G20=""),IF(I20="","",I20*0.4),I20*IFERROR(VLOOKUP(G20,Weights!$D$11:$E$13,2,FALSE),0.4)*IF(F20="",1,IF(TODAY()-F20&lt;=Weights!$E$7,Weights!$E$16,IF(TODAY()-F20&lt;=Weights!$E$8,Weights!$E$17,Weights!$E$18))))</f>
        <v/>
      </c>
      <c r="P20" s="27">
        <f>IF(N20="","",MIN(5,MAX(1,ROUND(5*N20/Weights!$E$6,0))))</f>
        <v/>
      </c>
      <c r="Q20" s="28">
        <f>IF(OR(A20="",C20="Y",D20="",O20="",J20="",K20="",P20=""),"",(D20*Weights!$B$4+O20*Weights!$B$5+J20*Weights!$B$6+K20*Weights!$B$7+P20*Weights!$B$8)/5)</f>
        <v/>
      </c>
      <c r="R20" s="27">
        <f>IF(A20="","",IF(C20="Y","Excluded",IF(Q20="","Incomplete",IF(Q20&gt;=Weights!$E$4,"A",IF(Q20&gt;=Weights!$E$5,"B","C")))))</f>
        <v/>
      </c>
      <c r="S20" s="29">
        <f>IF(Q20="","",Q20+ROW()/10000000)</f>
        <v/>
      </c>
      <c r="T20" s="27">
        <f>IF(S20="","",RANK(S20,$S$4:$S$53))</f>
        <v/>
      </c>
      <c r="U20" s="27">
        <f>IF(R20="","",IFERROR(VLOOKUP(R20,Weights!$A$13:$B$16,2,FALSE),""))</f>
        <v/>
      </c>
      <c r="V20" s="27">
        <f>IF(A20="","",TRIM(IF(AND(E20&lt;&gt;"",H20=""),"Add a source. ","")&amp;IF(AND(E20="",C20&lt;&gt;"Y"),"No trigger recorded. ","")&amp;IF(AND(K20&lt;&gt;"",K20&lt;=2,Q20&lt;&gt;"",Q20&gt;=Weights!$E$4),"High score, hard to reach. ","")))</f>
        <v/>
      </c>
    </row>
    <row r="21">
      <c r="A21" s="30" t="n"/>
      <c r="B21" s="30" t="n"/>
      <c r="C21" s="30" t="n"/>
      <c r="D21" s="30" t="n"/>
      <c r="E21" s="30" t="n"/>
      <c r="F21" s="31" t="n"/>
      <c r="G21" s="30" t="n"/>
      <c r="H21" s="30" t="n"/>
      <c r="I21" s="30" t="n"/>
      <c r="J21" s="30" t="n"/>
      <c r="K21" s="30" t="n"/>
      <c r="L21" s="30" t="n"/>
      <c r="M21" s="30" t="n"/>
      <c r="N21" s="32" t="n"/>
      <c r="O21" s="26">
        <f>IF(OR(I21="",G21=""),IF(I21="","",I21*0.4),I21*IFERROR(VLOOKUP(G21,Weights!$D$11:$E$13,2,FALSE),0.4)*IF(F21="",1,IF(TODAY()-F21&lt;=Weights!$E$7,Weights!$E$16,IF(TODAY()-F21&lt;=Weights!$E$8,Weights!$E$17,Weights!$E$18))))</f>
        <v/>
      </c>
      <c r="P21" s="27">
        <f>IF(N21="","",MIN(5,MAX(1,ROUND(5*N21/Weights!$E$6,0))))</f>
        <v/>
      </c>
      <c r="Q21" s="28">
        <f>IF(OR(A21="",C21="Y",D21="",O21="",J21="",K21="",P21=""),"",(D21*Weights!$B$4+O21*Weights!$B$5+J21*Weights!$B$6+K21*Weights!$B$7+P21*Weights!$B$8)/5)</f>
        <v/>
      </c>
      <c r="R21" s="27">
        <f>IF(A21="","",IF(C21="Y","Excluded",IF(Q21="","Incomplete",IF(Q21&gt;=Weights!$E$4,"A",IF(Q21&gt;=Weights!$E$5,"B","C")))))</f>
        <v/>
      </c>
      <c r="S21" s="29">
        <f>IF(Q21="","",Q21+ROW()/10000000)</f>
        <v/>
      </c>
      <c r="T21" s="27">
        <f>IF(S21="","",RANK(S21,$S$4:$S$53))</f>
        <v/>
      </c>
      <c r="U21" s="27">
        <f>IF(R21="","",IFERROR(VLOOKUP(R21,Weights!$A$13:$B$16,2,FALSE),""))</f>
        <v/>
      </c>
      <c r="V21" s="27">
        <f>IF(A21="","",TRIM(IF(AND(E21&lt;&gt;"",H21=""),"Add a source. ","")&amp;IF(AND(E21="",C21&lt;&gt;"Y"),"No trigger recorded. ","")&amp;IF(AND(K21&lt;&gt;"",K21&lt;=2,Q21&lt;&gt;"",Q21&gt;=Weights!$E$4),"High score, hard to reach. ","")))</f>
        <v/>
      </c>
    </row>
    <row r="22">
      <c r="A22" s="30" t="n"/>
      <c r="B22" s="30" t="n"/>
      <c r="C22" s="30" t="n"/>
      <c r="D22" s="30" t="n"/>
      <c r="E22" s="30" t="n"/>
      <c r="F22" s="31" t="n"/>
      <c r="G22" s="30" t="n"/>
      <c r="H22" s="30" t="n"/>
      <c r="I22" s="30" t="n"/>
      <c r="J22" s="30" t="n"/>
      <c r="K22" s="30" t="n"/>
      <c r="L22" s="30" t="n"/>
      <c r="M22" s="30" t="n"/>
      <c r="N22" s="32" t="n"/>
      <c r="O22" s="26">
        <f>IF(OR(I22="",G22=""),IF(I22="","",I22*0.4),I22*IFERROR(VLOOKUP(G22,Weights!$D$11:$E$13,2,FALSE),0.4)*IF(F22="",1,IF(TODAY()-F22&lt;=Weights!$E$7,Weights!$E$16,IF(TODAY()-F22&lt;=Weights!$E$8,Weights!$E$17,Weights!$E$18))))</f>
        <v/>
      </c>
      <c r="P22" s="27">
        <f>IF(N22="","",MIN(5,MAX(1,ROUND(5*N22/Weights!$E$6,0))))</f>
        <v/>
      </c>
      <c r="Q22" s="28">
        <f>IF(OR(A22="",C22="Y",D22="",O22="",J22="",K22="",P22=""),"",(D22*Weights!$B$4+O22*Weights!$B$5+J22*Weights!$B$6+K22*Weights!$B$7+P22*Weights!$B$8)/5)</f>
        <v/>
      </c>
      <c r="R22" s="27">
        <f>IF(A22="","",IF(C22="Y","Excluded",IF(Q22="","Incomplete",IF(Q22&gt;=Weights!$E$4,"A",IF(Q22&gt;=Weights!$E$5,"B","C")))))</f>
        <v/>
      </c>
      <c r="S22" s="29">
        <f>IF(Q22="","",Q22+ROW()/10000000)</f>
        <v/>
      </c>
      <c r="T22" s="27">
        <f>IF(S22="","",RANK(S22,$S$4:$S$53))</f>
        <v/>
      </c>
      <c r="U22" s="27">
        <f>IF(R22="","",IFERROR(VLOOKUP(R22,Weights!$A$13:$B$16,2,FALSE),""))</f>
        <v/>
      </c>
      <c r="V22" s="27">
        <f>IF(A22="","",TRIM(IF(AND(E22&lt;&gt;"",H22=""),"Add a source. ","")&amp;IF(AND(E22="",C22&lt;&gt;"Y"),"No trigger recorded. ","")&amp;IF(AND(K22&lt;&gt;"",K22&lt;=2,Q22&lt;&gt;"",Q22&gt;=Weights!$E$4),"High score, hard to reach. ","")))</f>
        <v/>
      </c>
    </row>
    <row r="23">
      <c r="A23" s="30" t="n"/>
      <c r="B23" s="30" t="n"/>
      <c r="C23" s="30" t="n"/>
      <c r="D23" s="30" t="n"/>
      <c r="E23" s="30" t="n"/>
      <c r="F23" s="31" t="n"/>
      <c r="G23" s="30" t="n"/>
      <c r="H23" s="30" t="n"/>
      <c r="I23" s="30" t="n"/>
      <c r="J23" s="30" t="n"/>
      <c r="K23" s="30" t="n"/>
      <c r="L23" s="30" t="n"/>
      <c r="M23" s="30" t="n"/>
      <c r="N23" s="32" t="n"/>
      <c r="O23" s="26">
        <f>IF(OR(I23="",G23=""),IF(I23="","",I23*0.4),I23*IFERROR(VLOOKUP(G23,Weights!$D$11:$E$13,2,FALSE),0.4)*IF(F23="",1,IF(TODAY()-F23&lt;=Weights!$E$7,Weights!$E$16,IF(TODAY()-F23&lt;=Weights!$E$8,Weights!$E$17,Weights!$E$18))))</f>
        <v/>
      </c>
      <c r="P23" s="27">
        <f>IF(N23="","",MIN(5,MAX(1,ROUND(5*N23/Weights!$E$6,0))))</f>
        <v/>
      </c>
      <c r="Q23" s="28">
        <f>IF(OR(A23="",C23="Y",D23="",O23="",J23="",K23="",P23=""),"",(D23*Weights!$B$4+O23*Weights!$B$5+J23*Weights!$B$6+K23*Weights!$B$7+P23*Weights!$B$8)/5)</f>
        <v/>
      </c>
      <c r="R23" s="27">
        <f>IF(A23="","",IF(C23="Y","Excluded",IF(Q23="","Incomplete",IF(Q23&gt;=Weights!$E$4,"A",IF(Q23&gt;=Weights!$E$5,"B","C")))))</f>
        <v/>
      </c>
      <c r="S23" s="29">
        <f>IF(Q23="","",Q23+ROW()/10000000)</f>
        <v/>
      </c>
      <c r="T23" s="27">
        <f>IF(S23="","",RANK(S23,$S$4:$S$53))</f>
        <v/>
      </c>
      <c r="U23" s="27">
        <f>IF(R23="","",IFERROR(VLOOKUP(R23,Weights!$A$13:$B$16,2,FALSE),""))</f>
        <v/>
      </c>
      <c r="V23" s="27">
        <f>IF(A23="","",TRIM(IF(AND(E23&lt;&gt;"",H23=""),"Add a source. ","")&amp;IF(AND(E23="",C23&lt;&gt;"Y"),"No trigger recorded. ","")&amp;IF(AND(K23&lt;&gt;"",K23&lt;=2,Q23&lt;&gt;"",Q23&gt;=Weights!$E$4),"High score, hard to reach. ","")))</f>
        <v/>
      </c>
    </row>
    <row r="24">
      <c r="A24" s="30" t="n"/>
      <c r="B24" s="30" t="n"/>
      <c r="C24" s="30" t="n"/>
      <c r="D24" s="30" t="n"/>
      <c r="E24" s="30" t="n"/>
      <c r="F24" s="31" t="n"/>
      <c r="G24" s="30" t="n"/>
      <c r="H24" s="30" t="n"/>
      <c r="I24" s="30" t="n"/>
      <c r="J24" s="30" t="n"/>
      <c r="K24" s="30" t="n"/>
      <c r="L24" s="30" t="n"/>
      <c r="M24" s="30" t="n"/>
      <c r="N24" s="32" t="n"/>
      <c r="O24" s="26">
        <f>IF(OR(I24="",G24=""),IF(I24="","",I24*0.4),I24*IFERROR(VLOOKUP(G24,Weights!$D$11:$E$13,2,FALSE),0.4)*IF(F24="",1,IF(TODAY()-F24&lt;=Weights!$E$7,Weights!$E$16,IF(TODAY()-F24&lt;=Weights!$E$8,Weights!$E$17,Weights!$E$18))))</f>
        <v/>
      </c>
      <c r="P24" s="27">
        <f>IF(N24="","",MIN(5,MAX(1,ROUND(5*N24/Weights!$E$6,0))))</f>
        <v/>
      </c>
      <c r="Q24" s="28">
        <f>IF(OR(A24="",C24="Y",D24="",O24="",J24="",K24="",P24=""),"",(D24*Weights!$B$4+O24*Weights!$B$5+J24*Weights!$B$6+K24*Weights!$B$7+P24*Weights!$B$8)/5)</f>
        <v/>
      </c>
      <c r="R24" s="27">
        <f>IF(A24="","",IF(C24="Y","Excluded",IF(Q24="","Incomplete",IF(Q24&gt;=Weights!$E$4,"A",IF(Q24&gt;=Weights!$E$5,"B","C")))))</f>
        <v/>
      </c>
      <c r="S24" s="29">
        <f>IF(Q24="","",Q24+ROW()/10000000)</f>
        <v/>
      </c>
      <c r="T24" s="27">
        <f>IF(S24="","",RANK(S24,$S$4:$S$53))</f>
        <v/>
      </c>
      <c r="U24" s="27">
        <f>IF(R24="","",IFERROR(VLOOKUP(R24,Weights!$A$13:$B$16,2,FALSE),""))</f>
        <v/>
      </c>
      <c r="V24" s="27">
        <f>IF(A24="","",TRIM(IF(AND(E24&lt;&gt;"",H24=""),"Add a source. ","")&amp;IF(AND(E24="",C24&lt;&gt;"Y"),"No trigger recorded. ","")&amp;IF(AND(K24&lt;&gt;"",K24&lt;=2,Q24&lt;&gt;"",Q24&gt;=Weights!$E$4),"High score, hard to reach. ","")))</f>
        <v/>
      </c>
    </row>
    <row r="25">
      <c r="A25" s="30" t="n"/>
      <c r="B25" s="30" t="n"/>
      <c r="C25" s="30" t="n"/>
      <c r="D25" s="30" t="n"/>
      <c r="E25" s="30" t="n"/>
      <c r="F25" s="31" t="n"/>
      <c r="G25" s="30" t="n"/>
      <c r="H25" s="30" t="n"/>
      <c r="I25" s="30" t="n"/>
      <c r="J25" s="30" t="n"/>
      <c r="K25" s="30" t="n"/>
      <c r="L25" s="30" t="n"/>
      <c r="M25" s="30" t="n"/>
      <c r="N25" s="32" t="n"/>
      <c r="O25" s="26">
        <f>IF(OR(I25="",G25=""),IF(I25="","",I25*0.4),I25*IFERROR(VLOOKUP(G25,Weights!$D$11:$E$13,2,FALSE),0.4)*IF(F25="",1,IF(TODAY()-F25&lt;=Weights!$E$7,Weights!$E$16,IF(TODAY()-F25&lt;=Weights!$E$8,Weights!$E$17,Weights!$E$18))))</f>
        <v/>
      </c>
      <c r="P25" s="27">
        <f>IF(N25="","",MIN(5,MAX(1,ROUND(5*N25/Weights!$E$6,0))))</f>
        <v/>
      </c>
      <c r="Q25" s="28">
        <f>IF(OR(A25="",C25="Y",D25="",O25="",J25="",K25="",P25=""),"",(D25*Weights!$B$4+O25*Weights!$B$5+J25*Weights!$B$6+K25*Weights!$B$7+P25*Weights!$B$8)/5)</f>
        <v/>
      </c>
      <c r="R25" s="27">
        <f>IF(A25="","",IF(C25="Y","Excluded",IF(Q25="","Incomplete",IF(Q25&gt;=Weights!$E$4,"A",IF(Q25&gt;=Weights!$E$5,"B","C")))))</f>
        <v/>
      </c>
      <c r="S25" s="29">
        <f>IF(Q25="","",Q25+ROW()/10000000)</f>
        <v/>
      </c>
      <c r="T25" s="27">
        <f>IF(S25="","",RANK(S25,$S$4:$S$53))</f>
        <v/>
      </c>
      <c r="U25" s="27">
        <f>IF(R25="","",IFERROR(VLOOKUP(R25,Weights!$A$13:$B$16,2,FALSE),""))</f>
        <v/>
      </c>
      <c r="V25" s="27">
        <f>IF(A25="","",TRIM(IF(AND(E25&lt;&gt;"",H25=""),"Add a source. ","")&amp;IF(AND(E25="",C25&lt;&gt;"Y"),"No trigger recorded. ","")&amp;IF(AND(K25&lt;&gt;"",K25&lt;=2,Q25&lt;&gt;"",Q25&gt;=Weights!$E$4),"High score, hard to reach. ","")))</f>
        <v/>
      </c>
    </row>
    <row r="26">
      <c r="A26" s="30" t="n"/>
      <c r="B26" s="30" t="n"/>
      <c r="C26" s="30" t="n"/>
      <c r="D26" s="30" t="n"/>
      <c r="E26" s="30" t="n"/>
      <c r="F26" s="31" t="n"/>
      <c r="G26" s="30" t="n"/>
      <c r="H26" s="30" t="n"/>
      <c r="I26" s="30" t="n"/>
      <c r="J26" s="30" t="n"/>
      <c r="K26" s="30" t="n"/>
      <c r="L26" s="30" t="n"/>
      <c r="M26" s="30" t="n"/>
      <c r="N26" s="32" t="n"/>
      <c r="O26" s="26">
        <f>IF(OR(I26="",G26=""),IF(I26="","",I26*0.4),I26*IFERROR(VLOOKUP(G26,Weights!$D$11:$E$13,2,FALSE),0.4)*IF(F26="",1,IF(TODAY()-F26&lt;=Weights!$E$7,Weights!$E$16,IF(TODAY()-F26&lt;=Weights!$E$8,Weights!$E$17,Weights!$E$18))))</f>
        <v/>
      </c>
      <c r="P26" s="27">
        <f>IF(N26="","",MIN(5,MAX(1,ROUND(5*N26/Weights!$E$6,0))))</f>
        <v/>
      </c>
      <c r="Q26" s="28">
        <f>IF(OR(A26="",C26="Y",D26="",O26="",J26="",K26="",P26=""),"",(D26*Weights!$B$4+O26*Weights!$B$5+J26*Weights!$B$6+K26*Weights!$B$7+P26*Weights!$B$8)/5)</f>
        <v/>
      </c>
      <c r="R26" s="27">
        <f>IF(A26="","",IF(C26="Y","Excluded",IF(Q26="","Incomplete",IF(Q26&gt;=Weights!$E$4,"A",IF(Q26&gt;=Weights!$E$5,"B","C")))))</f>
        <v/>
      </c>
      <c r="S26" s="29">
        <f>IF(Q26="","",Q26+ROW()/10000000)</f>
        <v/>
      </c>
      <c r="T26" s="27">
        <f>IF(S26="","",RANK(S26,$S$4:$S$53))</f>
        <v/>
      </c>
      <c r="U26" s="27">
        <f>IF(R26="","",IFERROR(VLOOKUP(R26,Weights!$A$13:$B$16,2,FALSE),""))</f>
        <v/>
      </c>
      <c r="V26" s="27">
        <f>IF(A26="","",TRIM(IF(AND(E26&lt;&gt;"",H26=""),"Add a source. ","")&amp;IF(AND(E26="",C26&lt;&gt;"Y"),"No trigger recorded. ","")&amp;IF(AND(K26&lt;&gt;"",K26&lt;=2,Q26&lt;&gt;"",Q26&gt;=Weights!$E$4),"High score, hard to reach. ","")))</f>
        <v/>
      </c>
    </row>
    <row r="27">
      <c r="A27" s="30" t="n"/>
      <c r="B27" s="30" t="n"/>
      <c r="C27" s="30" t="n"/>
      <c r="D27" s="30" t="n"/>
      <c r="E27" s="30" t="n"/>
      <c r="F27" s="31" t="n"/>
      <c r="G27" s="30" t="n"/>
      <c r="H27" s="30" t="n"/>
      <c r="I27" s="30" t="n"/>
      <c r="J27" s="30" t="n"/>
      <c r="K27" s="30" t="n"/>
      <c r="L27" s="30" t="n"/>
      <c r="M27" s="30" t="n"/>
      <c r="N27" s="32" t="n"/>
      <c r="O27" s="26">
        <f>IF(OR(I27="",G27=""),IF(I27="","",I27*0.4),I27*IFERROR(VLOOKUP(G27,Weights!$D$11:$E$13,2,FALSE),0.4)*IF(F27="",1,IF(TODAY()-F27&lt;=Weights!$E$7,Weights!$E$16,IF(TODAY()-F27&lt;=Weights!$E$8,Weights!$E$17,Weights!$E$18))))</f>
        <v/>
      </c>
      <c r="P27" s="27">
        <f>IF(N27="","",MIN(5,MAX(1,ROUND(5*N27/Weights!$E$6,0))))</f>
        <v/>
      </c>
      <c r="Q27" s="28">
        <f>IF(OR(A27="",C27="Y",D27="",O27="",J27="",K27="",P27=""),"",(D27*Weights!$B$4+O27*Weights!$B$5+J27*Weights!$B$6+K27*Weights!$B$7+P27*Weights!$B$8)/5)</f>
        <v/>
      </c>
      <c r="R27" s="27">
        <f>IF(A27="","",IF(C27="Y","Excluded",IF(Q27="","Incomplete",IF(Q27&gt;=Weights!$E$4,"A",IF(Q27&gt;=Weights!$E$5,"B","C")))))</f>
        <v/>
      </c>
      <c r="S27" s="29">
        <f>IF(Q27="","",Q27+ROW()/10000000)</f>
        <v/>
      </c>
      <c r="T27" s="27">
        <f>IF(S27="","",RANK(S27,$S$4:$S$53))</f>
        <v/>
      </c>
      <c r="U27" s="27">
        <f>IF(R27="","",IFERROR(VLOOKUP(R27,Weights!$A$13:$B$16,2,FALSE),""))</f>
        <v/>
      </c>
      <c r="V27" s="27">
        <f>IF(A27="","",TRIM(IF(AND(E27&lt;&gt;"",H27=""),"Add a source. ","")&amp;IF(AND(E27="",C27&lt;&gt;"Y"),"No trigger recorded. ","")&amp;IF(AND(K27&lt;&gt;"",K27&lt;=2,Q27&lt;&gt;"",Q27&gt;=Weights!$E$4),"High score, hard to reach. ","")))</f>
        <v/>
      </c>
    </row>
    <row r="28">
      <c r="A28" s="30" t="n"/>
      <c r="B28" s="30" t="n"/>
      <c r="C28" s="30" t="n"/>
      <c r="D28" s="30" t="n"/>
      <c r="E28" s="30" t="n"/>
      <c r="F28" s="31" t="n"/>
      <c r="G28" s="30" t="n"/>
      <c r="H28" s="30" t="n"/>
      <c r="I28" s="30" t="n"/>
      <c r="J28" s="30" t="n"/>
      <c r="K28" s="30" t="n"/>
      <c r="L28" s="30" t="n"/>
      <c r="M28" s="30" t="n"/>
      <c r="N28" s="32" t="n"/>
      <c r="O28" s="26">
        <f>IF(OR(I28="",G28=""),IF(I28="","",I28*0.4),I28*IFERROR(VLOOKUP(G28,Weights!$D$11:$E$13,2,FALSE),0.4)*IF(F28="",1,IF(TODAY()-F28&lt;=Weights!$E$7,Weights!$E$16,IF(TODAY()-F28&lt;=Weights!$E$8,Weights!$E$17,Weights!$E$18))))</f>
        <v/>
      </c>
      <c r="P28" s="27">
        <f>IF(N28="","",MIN(5,MAX(1,ROUND(5*N28/Weights!$E$6,0))))</f>
        <v/>
      </c>
      <c r="Q28" s="28">
        <f>IF(OR(A28="",C28="Y",D28="",O28="",J28="",K28="",P28=""),"",(D28*Weights!$B$4+O28*Weights!$B$5+J28*Weights!$B$6+K28*Weights!$B$7+P28*Weights!$B$8)/5)</f>
        <v/>
      </c>
      <c r="R28" s="27">
        <f>IF(A28="","",IF(C28="Y","Excluded",IF(Q28="","Incomplete",IF(Q28&gt;=Weights!$E$4,"A",IF(Q28&gt;=Weights!$E$5,"B","C")))))</f>
        <v/>
      </c>
      <c r="S28" s="29">
        <f>IF(Q28="","",Q28+ROW()/10000000)</f>
        <v/>
      </c>
      <c r="T28" s="27">
        <f>IF(S28="","",RANK(S28,$S$4:$S$53))</f>
        <v/>
      </c>
      <c r="U28" s="27">
        <f>IF(R28="","",IFERROR(VLOOKUP(R28,Weights!$A$13:$B$16,2,FALSE),""))</f>
        <v/>
      </c>
      <c r="V28" s="27">
        <f>IF(A28="","",TRIM(IF(AND(E28&lt;&gt;"",H28=""),"Add a source. ","")&amp;IF(AND(E28="",C28&lt;&gt;"Y"),"No trigger recorded. ","")&amp;IF(AND(K28&lt;&gt;"",K28&lt;=2,Q28&lt;&gt;"",Q28&gt;=Weights!$E$4),"High score, hard to reach. ","")))</f>
        <v/>
      </c>
    </row>
    <row r="29">
      <c r="A29" s="30" t="n"/>
      <c r="B29" s="30" t="n"/>
      <c r="C29" s="30" t="n"/>
      <c r="D29" s="30" t="n"/>
      <c r="E29" s="30" t="n"/>
      <c r="F29" s="31" t="n"/>
      <c r="G29" s="30" t="n"/>
      <c r="H29" s="30" t="n"/>
      <c r="I29" s="30" t="n"/>
      <c r="J29" s="30" t="n"/>
      <c r="K29" s="30" t="n"/>
      <c r="L29" s="30" t="n"/>
      <c r="M29" s="30" t="n"/>
      <c r="N29" s="32" t="n"/>
      <c r="O29" s="26">
        <f>IF(OR(I29="",G29=""),IF(I29="","",I29*0.4),I29*IFERROR(VLOOKUP(G29,Weights!$D$11:$E$13,2,FALSE),0.4)*IF(F29="",1,IF(TODAY()-F29&lt;=Weights!$E$7,Weights!$E$16,IF(TODAY()-F29&lt;=Weights!$E$8,Weights!$E$17,Weights!$E$18))))</f>
        <v/>
      </c>
      <c r="P29" s="27">
        <f>IF(N29="","",MIN(5,MAX(1,ROUND(5*N29/Weights!$E$6,0))))</f>
        <v/>
      </c>
      <c r="Q29" s="28">
        <f>IF(OR(A29="",C29="Y",D29="",O29="",J29="",K29="",P29=""),"",(D29*Weights!$B$4+O29*Weights!$B$5+J29*Weights!$B$6+K29*Weights!$B$7+P29*Weights!$B$8)/5)</f>
        <v/>
      </c>
      <c r="R29" s="27">
        <f>IF(A29="","",IF(C29="Y","Excluded",IF(Q29="","Incomplete",IF(Q29&gt;=Weights!$E$4,"A",IF(Q29&gt;=Weights!$E$5,"B","C")))))</f>
        <v/>
      </c>
      <c r="S29" s="29">
        <f>IF(Q29="","",Q29+ROW()/10000000)</f>
        <v/>
      </c>
      <c r="T29" s="27">
        <f>IF(S29="","",RANK(S29,$S$4:$S$53))</f>
        <v/>
      </c>
      <c r="U29" s="27">
        <f>IF(R29="","",IFERROR(VLOOKUP(R29,Weights!$A$13:$B$16,2,FALSE),""))</f>
        <v/>
      </c>
      <c r="V29" s="27">
        <f>IF(A29="","",TRIM(IF(AND(E29&lt;&gt;"",H29=""),"Add a source. ","")&amp;IF(AND(E29="",C29&lt;&gt;"Y"),"No trigger recorded. ","")&amp;IF(AND(K29&lt;&gt;"",K29&lt;=2,Q29&lt;&gt;"",Q29&gt;=Weights!$E$4),"High score, hard to reach. ","")))</f>
        <v/>
      </c>
    </row>
    <row r="30">
      <c r="A30" s="30" t="n"/>
      <c r="B30" s="30" t="n"/>
      <c r="C30" s="30" t="n"/>
      <c r="D30" s="30" t="n"/>
      <c r="E30" s="30" t="n"/>
      <c r="F30" s="31" t="n"/>
      <c r="G30" s="30" t="n"/>
      <c r="H30" s="30" t="n"/>
      <c r="I30" s="30" t="n"/>
      <c r="J30" s="30" t="n"/>
      <c r="K30" s="30" t="n"/>
      <c r="L30" s="30" t="n"/>
      <c r="M30" s="30" t="n"/>
      <c r="N30" s="32" t="n"/>
      <c r="O30" s="26">
        <f>IF(OR(I30="",G30=""),IF(I30="","",I30*0.4),I30*IFERROR(VLOOKUP(G30,Weights!$D$11:$E$13,2,FALSE),0.4)*IF(F30="",1,IF(TODAY()-F30&lt;=Weights!$E$7,Weights!$E$16,IF(TODAY()-F30&lt;=Weights!$E$8,Weights!$E$17,Weights!$E$18))))</f>
        <v/>
      </c>
      <c r="P30" s="27">
        <f>IF(N30="","",MIN(5,MAX(1,ROUND(5*N30/Weights!$E$6,0))))</f>
        <v/>
      </c>
      <c r="Q30" s="28">
        <f>IF(OR(A30="",C30="Y",D30="",O30="",J30="",K30="",P30=""),"",(D30*Weights!$B$4+O30*Weights!$B$5+J30*Weights!$B$6+K30*Weights!$B$7+P30*Weights!$B$8)/5)</f>
        <v/>
      </c>
      <c r="R30" s="27">
        <f>IF(A30="","",IF(C30="Y","Excluded",IF(Q30="","Incomplete",IF(Q30&gt;=Weights!$E$4,"A",IF(Q30&gt;=Weights!$E$5,"B","C")))))</f>
        <v/>
      </c>
      <c r="S30" s="29">
        <f>IF(Q30="","",Q30+ROW()/10000000)</f>
        <v/>
      </c>
      <c r="T30" s="27">
        <f>IF(S30="","",RANK(S30,$S$4:$S$53))</f>
        <v/>
      </c>
      <c r="U30" s="27">
        <f>IF(R30="","",IFERROR(VLOOKUP(R30,Weights!$A$13:$B$16,2,FALSE),""))</f>
        <v/>
      </c>
      <c r="V30" s="27">
        <f>IF(A30="","",TRIM(IF(AND(E30&lt;&gt;"",H30=""),"Add a source. ","")&amp;IF(AND(E30="",C30&lt;&gt;"Y"),"No trigger recorded. ","")&amp;IF(AND(K30&lt;&gt;"",K30&lt;=2,Q30&lt;&gt;"",Q30&gt;=Weights!$E$4),"High score, hard to reach. ","")))</f>
        <v/>
      </c>
    </row>
    <row r="31">
      <c r="A31" s="30" t="n"/>
      <c r="B31" s="30" t="n"/>
      <c r="C31" s="30" t="n"/>
      <c r="D31" s="30" t="n"/>
      <c r="E31" s="30" t="n"/>
      <c r="F31" s="31" t="n"/>
      <c r="G31" s="30" t="n"/>
      <c r="H31" s="30" t="n"/>
      <c r="I31" s="30" t="n"/>
      <c r="J31" s="30" t="n"/>
      <c r="K31" s="30" t="n"/>
      <c r="L31" s="30" t="n"/>
      <c r="M31" s="30" t="n"/>
      <c r="N31" s="32" t="n"/>
      <c r="O31" s="26">
        <f>IF(OR(I31="",G31=""),IF(I31="","",I31*0.4),I31*IFERROR(VLOOKUP(G31,Weights!$D$11:$E$13,2,FALSE),0.4)*IF(F31="",1,IF(TODAY()-F31&lt;=Weights!$E$7,Weights!$E$16,IF(TODAY()-F31&lt;=Weights!$E$8,Weights!$E$17,Weights!$E$18))))</f>
        <v/>
      </c>
      <c r="P31" s="27">
        <f>IF(N31="","",MIN(5,MAX(1,ROUND(5*N31/Weights!$E$6,0))))</f>
        <v/>
      </c>
      <c r="Q31" s="28">
        <f>IF(OR(A31="",C31="Y",D31="",O31="",J31="",K31="",P31=""),"",(D31*Weights!$B$4+O31*Weights!$B$5+J31*Weights!$B$6+K31*Weights!$B$7+P31*Weights!$B$8)/5)</f>
        <v/>
      </c>
      <c r="R31" s="27">
        <f>IF(A31="","",IF(C31="Y","Excluded",IF(Q31="","Incomplete",IF(Q31&gt;=Weights!$E$4,"A",IF(Q31&gt;=Weights!$E$5,"B","C")))))</f>
        <v/>
      </c>
      <c r="S31" s="29">
        <f>IF(Q31="","",Q31+ROW()/10000000)</f>
        <v/>
      </c>
      <c r="T31" s="27">
        <f>IF(S31="","",RANK(S31,$S$4:$S$53))</f>
        <v/>
      </c>
      <c r="U31" s="27">
        <f>IF(R31="","",IFERROR(VLOOKUP(R31,Weights!$A$13:$B$16,2,FALSE),""))</f>
        <v/>
      </c>
      <c r="V31" s="27">
        <f>IF(A31="","",TRIM(IF(AND(E31&lt;&gt;"",H31=""),"Add a source. ","")&amp;IF(AND(E31="",C31&lt;&gt;"Y"),"No trigger recorded. ","")&amp;IF(AND(K31&lt;&gt;"",K31&lt;=2,Q31&lt;&gt;"",Q31&gt;=Weights!$E$4),"High score, hard to reach. ","")))</f>
        <v/>
      </c>
    </row>
    <row r="32">
      <c r="A32" s="30" t="n"/>
      <c r="B32" s="30" t="n"/>
      <c r="C32" s="30" t="n"/>
      <c r="D32" s="30" t="n"/>
      <c r="E32" s="30" t="n"/>
      <c r="F32" s="31" t="n"/>
      <c r="G32" s="30" t="n"/>
      <c r="H32" s="30" t="n"/>
      <c r="I32" s="30" t="n"/>
      <c r="J32" s="30" t="n"/>
      <c r="K32" s="30" t="n"/>
      <c r="L32" s="30" t="n"/>
      <c r="M32" s="30" t="n"/>
      <c r="N32" s="32" t="n"/>
      <c r="O32" s="26">
        <f>IF(OR(I32="",G32=""),IF(I32="","",I32*0.4),I32*IFERROR(VLOOKUP(G32,Weights!$D$11:$E$13,2,FALSE),0.4)*IF(F32="",1,IF(TODAY()-F32&lt;=Weights!$E$7,Weights!$E$16,IF(TODAY()-F32&lt;=Weights!$E$8,Weights!$E$17,Weights!$E$18))))</f>
        <v/>
      </c>
      <c r="P32" s="27">
        <f>IF(N32="","",MIN(5,MAX(1,ROUND(5*N32/Weights!$E$6,0))))</f>
        <v/>
      </c>
      <c r="Q32" s="28">
        <f>IF(OR(A32="",C32="Y",D32="",O32="",J32="",K32="",P32=""),"",(D32*Weights!$B$4+O32*Weights!$B$5+J32*Weights!$B$6+K32*Weights!$B$7+P32*Weights!$B$8)/5)</f>
        <v/>
      </c>
      <c r="R32" s="27">
        <f>IF(A32="","",IF(C32="Y","Excluded",IF(Q32="","Incomplete",IF(Q32&gt;=Weights!$E$4,"A",IF(Q32&gt;=Weights!$E$5,"B","C")))))</f>
        <v/>
      </c>
      <c r="S32" s="29">
        <f>IF(Q32="","",Q32+ROW()/10000000)</f>
        <v/>
      </c>
      <c r="T32" s="27">
        <f>IF(S32="","",RANK(S32,$S$4:$S$53))</f>
        <v/>
      </c>
      <c r="U32" s="27">
        <f>IF(R32="","",IFERROR(VLOOKUP(R32,Weights!$A$13:$B$16,2,FALSE),""))</f>
        <v/>
      </c>
      <c r="V32" s="27">
        <f>IF(A32="","",TRIM(IF(AND(E32&lt;&gt;"",H32=""),"Add a source. ","")&amp;IF(AND(E32="",C32&lt;&gt;"Y"),"No trigger recorded. ","")&amp;IF(AND(K32&lt;&gt;"",K32&lt;=2,Q32&lt;&gt;"",Q32&gt;=Weights!$E$4),"High score, hard to reach. ","")))</f>
        <v/>
      </c>
    </row>
    <row r="33">
      <c r="A33" s="30" t="n"/>
      <c r="B33" s="30" t="n"/>
      <c r="C33" s="30" t="n"/>
      <c r="D33" s="30" t="n"/>
      <c r="E33" s="30" t="n"/>
      <c r="F33" s="31" t="n"/>
      <c r="G33" s="30" t="n"/>
      <c r="H33" s="30" t="n"/>
      <c r="I33" s="30" t="n"/>
      <c r="J33" s="30" t="n"/>
      <c r="K33" s="30" t="n"/>
      <c r="L33" s="30" t="n"/>
      <c r="M33" s="30" t="n"/>
      <c r="N33" s="32" t="n"/>
      <c r="O33" s="26">
        <f>IF(OR(I33="",G33=""),IF(I33="","",I33*0.4),I33*IFERROR(VLOOKUP(G33,Weights!$D$11:$E$13,2,FALSE),0.4)*IF(F33="",1,IF(TODAY()-F33&lt;=Weights!$E$7,Weights!$E$16,IF(TODAY()-F33&lt;=Weights!$E$8,Weights!$E$17,Weights!$E$18))))</f>
        <v/>
      </c>
      <c r="P33" s="27">
        <f>IF(N33="","",MIN(5,MAX(1,ROUND(5*N33/Weights!$E$6,0))))</f>
        <v/>
      </c>
      <c r="Q33" s="28">
        <f>IF(OR(A33="",C33="Y",D33="",O33="",J33="",K33="",P33=""),"",(D33*Weights!$B$4+O33*Weights!$B$5+J33*Weights!$B$6+K33*Weights!$B$7+P33*Weights!$B$8)/5)</f>
        <v/>
      </c>
      <c r="R33" s="27">
        <f>IF(A33="","",IF(C33="Y","Excluded",IF(Q33="","Incomplete",IF(Q33&gt;=Weights!$E$4,"A",IF(Q33&gt;=Weights!$E$5,"B","C")))))</f>
        <v/>
      </c>
      <c r="S33" s="29">
        <f>IF(Q33="","",Q33+ROW()/10000000)</f>
        <v/>
      </c>
      <c r="T33" s="27">
        <f>IF(S33="","",RANK(S33,$S$4:$S$53))</f>
        <v/>
      </c>
      <c r="U33" s="27">
        <f>IF(R33="","",IFERROR(VLOOKUP(R33,Weights!$A$13:$B$16,2,FALSE),""))</f>
        <v/>
      </c>
      <c r="V33" s="27">
        <f>IF(A33="","",TRIM(IF(AND(E33&lt;&gt;"",H33=""),"Add a source. ","")&amp;IF(AND(E33="",C33&lt;&gt;"Y"),"No trigger recorded. ","")&amp;IF(AND(K33&lt;&gt;"",K33&lt;=2,Q33&lt;&gt;"",Q33&gt;=Weights!$E$4),"High score, hard to reach. ","")))</f>
        <v/>
      </c>
    </row>
    <row r="34">
      <c r="A34" s="30" t="n"/>
      <c r="B34" s="30" t="n"/>
      <c r="C34" s="30" t="n"/>
      <c r="D34" s="30" t="n"/>
      <c r="E34" s="30" t="n"/>
      <c r="F34" s="31" t="n"/>
      <c r="G34" s="30" t="n"/>
      <c r="H34" s="30" t="n"/>
      <c r="I34" s="30" t="n"/>
      <c r="J34" s="30" t="n"/>
      <c r="K34" s="30" t="n"/>
      <c r="L34" s="30" t="n"/>
      <c r="M34" s="30" t="n"/>
      <c r="N34" s="32" t="n"/>
      <c r="O34" s="26">
        <f>IF(OR(I34="",G34=""),IF(I34="","",I34*0.4),I34*IFERROR(VLOOKUP(G34,Weights!$D$11:$E$13,2,FALSE),0.4)*IF(F34="",1,IF(TODAY()-F34&lt;=Weights!$E$7,Weights!$E$16,IF(TODAY()-F34&lt;=Weights!$E$8,Weights!$E$17,Weights!$E$18))))</f>
        <v/>
      </c>
      <c r="P34" s="27">
        <f>IF(N34="","",MIN(5,MAX(1,ROUND(5*N34/Weights!$E$6,0))))</f>
        <v/>
      </c>
      <c r="Q34" s="28">
        <f>IF(OR(A34="",C34="Y",D34="",O34="",J34="",K34="",P34=""),"",(D34*Weights!$B$4+O34*Weights!$B$5+J34*Weights!$B$6+K34*Weights!$B$7+P34*Weights!$B$8)/5)</f>
        <v/>
      </c>
      <c r="R34" s="27">
        <f>IF(A34="","",IF(C34="Y","Excluded",IF(Q34="","Incomplete",IF(Q34&gt;=Weights!$E$4,"A",IF(Q34&gt;=Weights!$E$5,"B","C")))))</f>
        <v/>
      </c>
      <c r="S34" s="29">
        <f>IF(Q34="","",Q34+ROW()/10000000)</f>
        <v/>
      </c>
      <c r="T34" s="27">
        <f>IF(S34="","",RANK(S34,$S$4:$S$53))</f>
        <v/>
      </c>
      <c r="U34" s="27">
        <f>IF(R34="","",IFERROR(VLOOKUP(R34,Weights!$A$13:$B$16,2,FALSE),""))</f>
        <v/>
      </c>
      <c r="V34" s="27">
        <f>IF(A34="","",TRIM(IF(AND(E34&lt;&gt;"",H34=""),"Add a source. ","")&amp;IF(AND(E34="",C34&lt;&gt;"Y"),"No trigger recorded. ","")&amp;IF(AND(K34&lt;&gt;"",K34&lt;=2,Q34&lt;&gt;"",Q34&gt;=Weights!$E$4),"High score, hard to reach. ","")))</f>
        <v/>
      </c>
    </row>
    <row r="35">
      <c r="A35" s="30" t="n"/>
      <c r="B35" s="30" t="n"/>
      <c r="C35" s="30" t="n"/>
      <c r="D35" s="30" t="n"/>
      <c r="E35" s="30" t="n"/>
      <c r="F35" s="31" t="n"/>
      <c r="G35" s="30" t="n"/>
      <c r="H35" s="30" t="n"/>
      <c r="I35" s="30" t="n"/>
      <c r="J35" s="30" t="n"/>
      <c r="K35" s="30" t="n"/>
      <c r="L35" s="30" t="n"/>
      <c r="M35" s="30" t="n"/>
      <c r="N35" s="32" t="n"/>
      <c r="O35" s="26">
        <f>IF(OR(I35="",G35=""),IF(I35="","",I35*0.4),I35*IFERROR(VLOOKUP(G35,Weights!$D$11:$E$13,2,FALSE),0.4)*IF(F35="",1,IF(TODAY()-F35&lt;=Weights!$E$7,Weights!$E$16,IF(TODAY()-F35&lt;=Weights!$E$8,Weights!$E$17,Weights!$E$18))))</f>
        <v/>
      </c>
      <c r="P35" s="27">
        <f>IF(N35="","",MIN(5,MAX(1,ROUND(5*N35/Weights!$E$6,0))))</f>
        <v/>
      </c>
      <c r="Q35" s="28">
        <f>IF(OR(A35="",C35="Y",D35="",O35="",J35="",K35="",P35=""),"",(D35*Weights!$B$4+O35*Weights!$B$5+J35*Weights!$B$6+K35*Weights!$B$7+P35*Weights!$B$8)/5)</f>
        <v/>
      </c>
      <c r="R35" s="27">
        <f>IF(A35="","",IF(C35="Y","Excluded",IF(Q35="","Incomplete",IF(Q35&gt;=Weights!$E$4,"A",IF(Q35&gt;=Weights!$E$5,"B","C")))))</f>
        <v/>
      </c>
      <c r="S35" s="29">
        <f>IF(Q35="","",Q35+ROW()/10000000)</f>
        <v/>
      </c>
      <c r="T35" s="27">
        <f>IF(S35="","",RANK(S35,$S$4:$S$53))</f>
        <v/>
      </c>
      <c r="U35" s="27">
        <f>IF(R35="","",IFERROR(VLOOKUP(R35,Weights!$A$13:$B$16,2,FALSE),""))</f>
        <v/>
      </c>
      <c r="V35" s="27">
        <f>IF(A35="","",TRIM(IF(AND(E35&lt;&gt;"",H35=""),"Add a source. ","")&amp;IF(AND(E35="",C35&lt;&gt;"Y"),"No trigger recorded. ","")&amp;IF(AND(K35&lt;&gt;"",K35&lt;=2,Q35&lt;&gt;"",Q35&gt;=Weights!$E$4),"High score, hard to reach. ","")))</f>
        <v/>
      </c>
    </row>
    <row r="36">
      <c r="A36" s="30" t="n"/>
      <c r="B36" s="30" t="n"/>
      <c r="C36" s="30" t="n"/>
      <c r="D36" s="30" t="n"/>
      <c r="E36" s="30" t="n"/>
      <c r="F36" s="31" t="n"/>
      <c r="G36" s="30" t="n"/>
      <c r="H36" s="30" t="n"/>
      <c r="I36" s="30" t="n"/>
      <c r="J36" s="30" t="n"/>
      <c r="K36" s="30" t="n"/>
      <c r="L36" s="30" t="n"/>
      <c r="M36" s="30" t="n"/>
      <c r="N36" s="32" t="n"/>
      <c r="O36" s="26">
        <f>IF(OR(I36="",G36=""),IF(I36="","",I36*0.4),I36*IFERROR(VLOOKUP(G36,Weights!$D$11:$E$13,2,FALSE),0.4)*IF(F36="",1,IF(TODAY()-F36&lt;=Weights!$E$7,Weights!$E$16,IF(TODAY()-F36&lt;=Weights!$E$8,Weights!$E$17,Weights!$E$18))))</f>
        <v/>
      </c>
      <c r="P36" s="27">
        <f>IF(N36="","",MIN(5,MAX(1,ROUND(5*N36/Weights!$E$6,0))))</f>
        <v/>
      </c>
      <c r="Q36" s="28">
        <f>IF(OR(A36="",C36="Y",D36="",O36="",J36="",K36="",P36=""),"",(D36*Weights!$B$4+O36*Weights!$B$5+J36*Weights!$B$6+K36*Weights!$B$7+P36*Weights!$B$8)/5)</f>
        <v/>
      </c>
      <c r="R36" s="27">
        <f>IF(A36="","",IF(C36="Y","Excluded",IF(Q36="","Incomplete",IF(Q36&gt;=Weights!$E$4,"A",IF(Q36&gt;=Weights!$E$5,"B","C")))))</f>
        <v/>
      </c>
      <c r="S36" s="29">
        <f>IF(Q36="","",Q36+ROW()/10000000)</f>
        <v/>
      </c>
      <c r="T36" s="27">
        <f>IF(S36="","",RANK(S36,$S$4:$S$53))</f>
        <v/>
      </c>
      <c r="U36" s="27">
        <f>IF(R36="","",IFERROR(VLOOKUP(R36,Weights!$A$13:$B$16,2,FALSE),""))</f>
        <v/>
      </c>
      <c r="V36" s="27">
        <f>IF(A36="","",TRIM(IF(AND(E36&lt;&gt;"",H36=""),"Add a source. ","")&amp;IF(AND(E36="",C36&lt;&gt;"Y"),"No trigger recorded. ","")&amp;IF(AND(K36&lt;&gt;"",K36&lt;=2,Q36&lt;&gt;"",Q36&gt;=Weights!$E$4),"High score, hard to reach. ","")))</f>
        <v/>
      </c>
    </row>
    <row r="37">
      <c r="A37" s="30" t="n"/>
      <c r="B37" s="30" t="n"/>
      <c r="C37" s="30" t="n"/>
      <c r="D37" s="30" t="n"/>
      <c r="E37" s="30" t="n"/>
      <c r="F37" s="31" t="n"/>
      <c r="G37" s="30" t="n"/>
      <c r="H37" s="30" t="n"/>
      <c r="I37" s="30" t="n"/>
      <c r="J37" s="30" t="n"/>
      <c r="K37" s="30" t="n"/>
      <c r="L37" s="30" t="n"/>
      <c r="M37" s="30" t="n"/>
      <c r="N37" s="32" t="n"/>
      <c r="O37" s="26">
        <f>IF(OR(I37="",G37=""),IF(I37="","",I37*0.4),I37*IFERROR(VLOOKUP(G37,Weights!$D$11:$E$13,2,FALSE),0.4)*IF(F37="",1,IF(TODAY()-F37&lt;=Weights!$E$7,Weights!$E$16,IF(TODAY()-F37&lt;=Weights!$E$8,Weights!$E$17,Weights!$E$18))))</f>
        <v/>
      </c>
      <c r="P37" s="27">
        <f>IF(N37="","",MIN(5,MAX(1,ROUND(5*N37/Weights!$E$6,0))))</f>
        <v/>
      </c>
      <c r="Q37" s="28">
        <f>IF(OR(A37="",C37="Y",D37="",O37="",J37="",K37="",P37=""),"",(D37*Weights!$B$4+O37*Weights!$B$5+J37*Weights!$B$6+K37*Weights!$B$7+P37*Weights!$B$8)/5)</f>
        <v/>
      </c>
      <c r="R37" s="27">
        <f>IF(A37="","",IF(C37="Y","Excluded",IF(Q37="","Incomplete",IF(Q37&gt;=Weights!$E$4,"A",IF(Q37&gt;=Weights!$E$5,"B","C")))))</f>
        <v/>
      </c>
      <c r="S37" s="29">
        <f>IF(Q37="","",Q37+ROW()/10000000)</f>
        <v/>
      </c>
      <c r="T37" s="27">
        <f>IF(S37="","",RANK(S37,$S$4:$S$53))</f>
        <v/>
      </c>
      <c r="U37" s="27">
        <f>IF(R37="","",IFERROR(VLOOKUP(R37,Weights!$A$13:$B$16,2,FALSE),""))</f>
        <v/>
      </c>
      <c r="V37" s="27">
        <f>IF(A37="","",TRIM(IF(AND(E37&lt;&gt;"",H37=""),"Add a source. ","")&amp;IF(AND(E37="",C37&lt;&gt;"Y"),"No trigger recorded. ","")&amp;IF(AND(K37&lt;&gt;"",K37&lt;=2,Q37&lt;&gt;"",Q37&gt;=Weights!$E$4),"High score, hard to reach. ","")))</f>
        <v/>
      </c>
    </row>
    <row r="38">
      <c r="A38" s="30" t="n"/>
      <c r="B38" s="30" t="n"/>
      <c r="C38" s="30" t="n"/>
      <c r="D38" s="30" t="n"/>
      <c r="E38" s="30" t="n"/>
      <c r="F38" s="31" t="n"/>
      <c r="G38" s="30" t="n"/>
      <c r="H38" s="30" t="n"/>
      <c r="I38" s="30" t="n"/>
      <c r="J38" s="30" t="n"/>
      <c r="K38" s="30" t="n"/>
      <c r="L38" s="30" t="n"/>
      <c r="M38" s="30" t="n"/>
      <c r="N38" s="32" t="n"/>
      <c r="O38" s="26">
        <f>IF(OR(I38="",G38=""),IF(I38="","",I38*0.4),I38*IFERROR(VLOOKUP(G38,Weights!$D$11:$E$13,2,FALSE),0.4)*IF(F38="",1,IF(TODAY()-F38&lt;=Weights!$E$7,Weights!$E$16,IF(TODAY()-F38&lt;=Weights!$E$8,Weights!$E$17,Weights!$E$18))))</f>
        <v/>
      </c>
      <c r="P38" s="27">
        <f>IF(N38="","",MIN(5,MAX(1,ROUND(5*N38/Weights!$E$6,0))))</f>
        <v/>
      </c>
      <c r="Q38" s="28">
        <f>IF(OR(A38="",C38="Y",D38="",O38="",J38="",K38="",P38=""),"",(D38*Weights!$B$4+O38*Weights!$B$5+J38*Weights!$B$6+K38*Weights!$B$7+P38*Weights!$B$8)/5)</f>
        <v/>
      </c>
      <c r="R38" s="27">
        <f>IF(A38="","",IF(C38="Y","Excluded",IF(Q38="","Incomplete",IF(Q38&gt;=Weights!$E$4,"A",IF(Q38&gt;=Weights!$E$5,"B","C")))))</f>
        <v/>
      </c>
      <c r="S38" s="29">
        <f>IF(Q38="","",Q38+ROW()/10000000)</f>
        <v/>
      </c>
      <c r="T38" s="27">
        <f>IF(S38="","",RANK(S38,$S$4:$S$53))</f>
        <v/>
      </c>
      <c r="U38" s="27">
        <f>IF(R38="","",IFERROR(VLOOKUP(R38,Weights!$A$13:$B$16,2,FALSE),""))</f>
        <v/>
      </c>
      <c r="V38" s="27">
        <f>IF(A38="","",TRIM(IF(AND(E38&lt;&gt;"",H38=""),"Add a source. ","")&amp;IF(AND(E38="",C38&lt;&gt;"Y"),"No trigger recorded. ","")&amp;IF(AND(K38&lt;&gt;"",K38&lt;=2,Q38&lt;&gt;"",Q38&gt;=Weights!$E$4),"High score, hard to reach. ","")))</f>
        <v/>
      </c>
    </row>
    <row r="39">
      <c r="A39" s="30" t="n"/>
      <c r="B39" s="30" t="n"/>
      <c r="C39" s="30" t="n"/>
      <c r="D39" s="30" t="n"/>
      <c r="E39" s="30" t="n"/>
      <c r="F39" s="31" t="n"/>
      <c r="G39" s="30" t="n"/>
      <c r="H39" s="30" t="n"/>
      <c r="I39" s="30" t="n"/>
      <c r="J39" s="30" t="n"/>
      <c r="K39" s="30" t="n"/>
      <c r="L39" s="30" t="n"/>
      <c r="M39" s="30" t="n"/>
      <c r="N39" s="32" t="n"/>
      <c r="O39" s="26">
        <f>IF(OR(I39="",G39=""),IF(I39="","",I39*0.4),I39*IFERROR(VLOOKUP(G39,Weights!$D$11:$E$13,2,FALSE),0.4)*IF(F39="",1,IF(TODAY()-F39&lt;=Weights!$E$7,Weights!$E$16,IF(TODAY()-F39&lt;=Weights!$E$8,Weights!$E$17,Weights!$E$18))))</f>
        <v/>
      </c>
      <c r="P39" s="27">
        <f>IF(N39="","",MIN(5,MAX(1,ROUND(5*N39/Weights!$E$6,0))))</f>
        <v/>
      </c>
      <c r="Q39" s="28">
        <f>IF(OR(A39="",C39="Y",D39="",O39="",J39="",K39="",P39=""),"",(D39*Weights!$B$4+O39*Weights!$B$5+J39*Weights!$B$6+K39*Weights!$B$7+P39*Weights!$B$8)/5)</f>
        <v/>
      </c>
      <c r="R39" s="27">
        <f>IF(A39="","",IF(C39="Y","Excluded",IF(Q39="","Incomplete",IF(Q39&gt;=Weights!$E$4,"A",IF(Q39&gt;=Weights!$E$5,"B","C")))))</f>
        <v/>
      </c>
      <c r="S39" s="29">
        <f>IF(Q39="","",Q39+ROW()/10000000)</f>
        <v/>
      </c>
      <c r="T39" s="27">
        <f>IF(S39="","",RANK(S39,$S$4:$S$53))</f>
        <v/>
      </c>
      <c r="U39" s="27">
        <f>IF(R39="","",IFERROR(VLOOKUP(R39,Weights!$A$13:$B$16,2,FALSE),""))</f>
        <v/>
      </c>
      <c r="V39" s="27">
        <f>IF(A39="","",TRIM(IF(AND(E39&lt;&gt;"",H39=""),"Add a source. ","")&amp;IF(AND(E39="",C39&lt;&gt;"Y"),"No trigger recorded. ","")&amp;IF(AND(K39&lt;&gt;"",K39&lt;=2,Q39&lt;&gt;"",Q39&gt;=Weights!$E$4),"High score, hard to reach. ","")))</f>
        <v/>
      </c>
    </row>
    <row r="40">
      <c r="A40" s="30" t="n"/>
      <c r="B40" s="30" t="n"/>
      <c r="C40" s="30" t="n"/>
      <c r="D40" s="30" t="n"/>
      <c r="E40" s="30" t="n"/>
      <c r="F40" s="31" t="n"/>
      <c r="G40" s="30" t="n"/>
      <c r="H40" s="30" t="n"/>
      <c r="I40" s="30" t="n"/>
      <c r="J40" s="30" t="n"/>
      <c r="K40" s="30" t="n"/>
      <c r="L40" s="30" t="n"/>
      <c r="M40" s="30" t="n"/>
      <c r="N40" s="32" t="n"/>
      <c r="O40" s="26">
        <f>IF(OR(I40="",G40=""),IF(I40="","",I40*0.4),I40*IFERROR(VLOOKUP(G40,Weights!$D$11:$E$13,2,FALSE),0.4)*IF(F40="",1,IF(TODAY()-F40&lt;=Weights!$E$7,Weights!$E$16,IF(TODAY()-F40&lt;=Weights!$E$8,Weights!$E$17,Weights!$E$18))))</f>
        <v/>
      </c>
      <c r="P40" s="27">
        <f>IF(N40="","",MIN(5,MAX(1,ROUND(5*N40/Weights!$E$6,0))))</f>
        <v/>
      </c>
      <c r="Q40" s="28">
        <f>IF(OR(A40="",C40="Y",D40="",O40="",J40="",K40="",P40=""),"",(D40*Weights!$B$4+O40*Weights!$B$5+J40*Weights!$B$6+K40*Weights!$B$7+P40*Weights!$B$8)/5)</f>
        <v/>
      </c>
      <c r="R40" s="27">
        <f>IF(A40="","",IF(C40="Y","Excluded",IF(Q40="","Incomplete",IF(Q40&gt;=Weights!$E$4,"A",IF(Q40&gt;=Weights!$E$5,"B","C")))))</f>
        <v/>
      </c>
      <c r="S40" s="29">
        <f>IF(Q40="","",Q40+ROW()/10000000)</f>
        <v/>
      </c>
      <c r="T40" s="27">
        <f>IF(S40="","",RANK(S40,$S$4:$S$53))</f>
        <v/>
      </c>
      <c r="U40" s="27">
        <f>IF(R40="","",IFERROR(VLOOKUP(R40,Weights!$A$13:$B$16,2,FALSE),""))</f>
        <v/>
      </c>
      <c r="V40" s="27">
        <f>IF(A40="","",TRIM(IF(AND(E40&lt;&gt;"",H40=""),"Add a source. ","")&amp;IF(AND(E40="",C40&lt;&gt;"Y"),"No trigger recorded. ","")&amp;IF(AND(K40&lt;&gt;"",K40&lt;=2,Q40&lt;&gt;"",Q40&gt;=Weights!$E$4),"High score, hard to reach. ","")))</f>
        <v/>
      </c>
    </row>
    <row r="41">
      <c r="A41" s="30" t="n"/>
      <c r="B41" s="30" t="n"/>
      <c r="C41" s="30" t="n"/>
      <c r="D41" s="30" t="n"/>
      <c r="E41" s="30" t="n"/>
      <c r="F41" s="31" t="n"/>
      <c r="G41" s="30" t="n"/>
      <c r="H41" s="30" t="n"/>
      <c r="I41" s="30" t="n"/>
      <c r="J41" s="30" t="n"/>
      <c r="K41" s="30" t="n"/>
      <c r="L41" s="30" t="n"/>
      <c r="M41" s="30" t="n"/>
      <c r="N41" s="32" t="n"/>
      <c r="O41" s="26">
        <f>IF(OR(I41="",G41=""),IF(I41="","",I41*0.4),I41*IFERROR(VLOOKUP(G41,Weights!$D$11:$E$13,2,FALSE),0.4)*IF(F41="",1,IF(TODAY()-F41&lt;=Weights!$E$7,Weights!$E$16,IF(TODAY()-F41&lt;=Weights!$E$8,Weights!$E$17,Weights!$E$18))))</f>
        <v/>
      </c>
      <c r="P41" s="27">
        <f>IF(N41="","",MIN(5,MAX(1,ROUND(5*N41/Weights!$E$6,0))))</f>
        <v/>
      </c>
      <c r="Q41" s="28">
        <f>IF(OR(A41="",C41="Y",D41="",O41="",J41="",K41="",P41=""),"",(D41*Weights!$B$4+O41*Weights!$B$5+J41*Weights!$B$6+K41*Weights!$B$7+P41*Weights!$B$8)/5)</f>
        <v/>
      </c>
      <c r="R41" s="27">
        <f>IF(A41="","",IF(C41="Y","Excluded",IF(Q41="","Incomplete",IF(Q41&gt;=Weights!$E$4,"A",IF(Q41&gt;=Weights!$E$5,"B","C")))))</f>
        <v/>
      </c>
      <c r="S41" s="29">
        <f>IF(Q41="","",Q41+ROW()/10000000)</f>
        <v/>
      </c>
      <c r="T41" s="27">
        <f>IF(S41="","",RANK(S41,$S$4:$S$53))</f>
        <v/>
      </c>
      <c r="U41" s="27">
        <f>IF(R41="","",IFERROR(VLOOKUP(R41,Weights!$A$13:$B$16,2,FALSE),""))</f>
        <v/>
      </c>
      <c r="V41" s="27">
        <f>IF(A41="","",TRIM(IF(AND(E41&lt;&gt;"",H41=""),"Add a source. ","")&amp;IF(AND(E41="",C41&lt;&gt;"Y"),"No trigger recorded. ","")&amp;IF(AND(K41&lt;&gt;"",K41&lt;=2,Q41&lt;&gt;"",Q41&gt;=Weights!$E$4),"High score, hard to reach. ","")))</f>
        <v/>
      </c>
    </row>
    <row r="42">
      <c r="A42" s="30" t="n"/>
      <c r="B42" s="30" t="n"/>
      <c r="C42" s="30" t="n"/>
      <c r="D42" s="30" t="n"/>
      <c r="E42" s="30" t="n"/>
      <c r="F42" s="31" t="n"/>
      <c r="G42" s="30" t="n"/>
      <c r="H42" s="30" t="n"/>
      <c r="I42" s="30" t="n"/>
      <c r="J42" s="30" t="n"/>
      <c r="K42" s="30" t="n"/>
      <c r="L42" s="30" t="n"/>
      <c r="M42" s="30" t="n"/>
      <c r="N42" s="32" t="n"/>
      <c r="O42" s="26">
        <f>IF(OR(I42="",G42=""),IF(I42="","",I42*0.4),I42*IFERROR(VLOOKUP(G42,Weights!$D$11:$E$13,2,FALSE),0.4)*IF(F42="",1,IF(TODAY()-F42&lt;=Weights!$E$7,Weights!$E$16,IF(TODAY()-F42&lt;=Weights!$E$8,Weights!$E$17,Weights!$E$18))))</f>
        <v/>
      </c>
      <c r="P42" s="27">
        <f>IF(N42="","",MIN(5,MAX(1,ROUND(5*N42/Weights!$E$6,0))))</f>
        <v/>
      </c>
      <c r="Q42" s="28">
        <f>IF(OR(A42="",C42="Y",D42="",O42="",J42="",K42="",P42=""),"",(D42*Weights!$B$4+O42*Weights!$B$5+J42*Weights!$B$6+K42*Weights!$B$7+P42*Weights!$B$8)/5)</f>
        <v/>
      </c>
      <c r="R42" s="27">
        <f>IF(A42="","",IF(C42="Y","Excluded",IF(Q42="","Incomplete",IF(Q42&gt;=Weights!$E$4,"A",IF(Q42&gt;=Weights!$E$5,"B","C")))))</f>
        <v/>
      </c>
      <c r="S42" s="29">
        <f>IF(Q42="","",Q42+ROW()/10000000)</f>
        <v/>
      </c>
      <c r="T42" s="27">
        <f>IF(S42="","",RANK(S42,$S$4:$S$53))</f>
        <v/>
      </c>
      <c r="U42" s="27">
        <f>IF(R42="","",IFERROR(VLOOKUP(R42,Weights!$A$13:$B$16,2,FALSE),""))</f>
        <v/>
      </c>
      <c r="V42" s="27">
        <f>IF(A42="","",TRIM(IF(AND(E42&lt;&gt;"",H42=""),"Add a source. ","")&amp;IF(AND(E42="",C42&lt;&gt;"Y"),"No trigger recorded. ","")&amp;IF(AND(K42&lt;&gt;"",K42&lt;=2,Q42&lt;&gt;"",Q42&gt;=Weights!$E$4),"High score, hard to reach. ","")))</f>
        <v/>
      </c>
    </row>
    <row r="43">
      <c r="A43" s="30" t="n"/>
      <c r="B43" s="30" t="n"/>
      <c r="C43" s="30" t="n"/>
      <c r="D43" s="30" t="n"/>
      <c r="E43" s="30" t="n"/>
      <c r="F43" s="31" t="n"/>
      <c r="G43" s="30" t="n"/>
      <c r="H43" s="30" t="n"/>
      <c r="I43" s="30" t="n"/>
      <c r="J43" s="30" t="n"/>
      <c r="K43" s="30" t="n"/>
      <c r="L43" s="30" t="n"/>
      <c r="M43" s="30" t="n"/>
      <c r="N43" s="32" t="n"/>
      <c r="O43" s="26">
        <f>IF(OR(I43="",G43=""),IF(I43="","",I43*0.4),I43*IFERROR(VLOOKUP(G43,Weights!$D$11:$E$13,2,FALSE),0.4)*IF(F43="",1,IF(TODAY()-F43&lt;=Weights!$E$7,Weights!$E$16,IF(TODAY()-F43&lt;=Weights!$E$8,Weights!$E$17,Weights!$E$18))))</f>
        <v/>
      </c>
      <c r="P43" s="27">
        <f>IF(N43="","",MIN(5,MAX(1,ROUND(5*N43/Weights!$E$6,0))))</f>
        <v/>
      </c>
      <c r="Q43" s="28">
        <f>IF(OR(A43="",C43="Y",D43="",O43="",J43="",K43="",P43=""),"",(D43*Weights!$B$4+O43*Weights!$B$5+J43*Weights!$B$6+K43*Weights!$B$7+P43*Weights!$B$8)/5)</f>
        <v/>
      </c>
      <c r="R43" s="27">
        <f>IF(A43="","",IF(C43="Y","Excluded",IF(Q43="","Incomplete",IF(Q43&gt;=Weights!$E$4,"A",IF(Q43&gt;=Weights!$E$5,"B","C")))))</f>
        <v/>
      </c>
      <c r="S43" s="29">
        <f>IF(Q43="","",Q43+ROW()/10000000)</f>
        <v/>
      </c>
      <c r="T43" s="27">
        <f>IF(S43="","",RANK(S43,$S$4:$S$53))</f>
        <v/>
      </c>
      <c r="U43" s="27">
        <f>IF(R43="","",IFERROR(VLOOKUP(R43,Weights!$A$13:$B$16,2,FALSE),""))</f>
        <v/>
      </c>
      <c r="V43" s="27">
        <f>IF(A43="","",TRIM(IF(AND(E43&lt;&gt;"",H43=""),"Add a source. ","")&amp;IF(AND(E43="",C43&lt;&gt;"Y"),"No trigger recorded. ","")&amp;IF(AND(K43&lt;&gt;"",K43&lt;=2,Q43&lt;&gt;"",Q43&gt;=Weights!$E$4),"High score, hard to reach. ","")))</f>
        <v/>
      </c>
    </row>
    <row r="44">
      <c r="A44" s="30" t="n"/>
      <c r="B44" s="30" t="n"/>
      <c r="C44" s="30" t="n"/>
      <c r="D44" s="30" t="n"/>
      <c r="E44" s="30" t="n"/>
      <c r="F44" s="31" t="n"/>
      <c r="G44" s="30" t="n"/>
      <c r="H44" s="30" t="n"/>
      <c r="I44" s="30" t="n"/>
      <c r="J44" s="30" t="n"/>
      <c r="K44" s="30" t="n"/>
      <c r="L44" s="30" t="n"/>
      <c r="M44" s="30" t="n"/>
      <c r="N44" s="32" t="n"/>
      <c r="O44" s="26">
        <f>IF(OR(I44="",G44=""),IF(I44="","",I44*0.4),I44*IFERROR(VLOOKUP(G44,Weights!$D$11:$E$13,2,FALSE),0.4)*IF(F44="",1,IF(TODAY()-F44&lt;=Weights!$E$7,Weights!$E$16,IF(TODAY()-F44&lt;=Weights!$E$8,Weights!$E$17,Weights!$E$18))))</f>
        <v/>
      </c>
      <c r="P44" s="27">
        <f>IF(N44="","",MIN(5,MAX(1,ROUND(5*N44/Weights!$E$6,0))))</f>
        <v/>
      </c>
      <c r="Q44" s="28">
        <f>IF(OR(A44="",C44="Y",D44="",O44="",J44="",K44="",P44=""),"",(D44*Weights!$B$4+O44*Weights!$B$5+J44*Weights!$B$6+K44*Weights!$B$7+P44*Weights!$B$8)/5)</f>
        <v/>
      </c>
      <c r="R44" s="27">
        <f>IF(A44="","",IF(C44="Y","Excluded",IF(Q44="","Incomplete",IF(Q44&gt;=Weights!$E$4,"A",IF(Q44&gt;=Weights!$E$5,"B","C")))))</f>
        <v/>
      </c>
      <c r="S44" s="29">
        <f>IF(Q44="","",Q44+ROW()/10000000)</f>
        <v/>
      </c>
      <c r="T44" s="27">
        <f>IF(S44="","",RANK(S44,$S$4:$S$53))</f>
        <v/>
      </c>
      <c r="U44" s="27">
        <f>IF(R44="","",IFERROR(VLOOKUP(R44,Weights!$A$13:$B$16,2,FALSE),""))</f>
        <v/>
      </c>
      <c r="V44" s="27">
        <f>IF(A44="","",TRIM(IF(AND(E44&lt;&gt;"",H44=""),"Add a source. ","")&amp;IF(AND(E44="",C44&lt;&gt;"Y"),"No trigger recorded. ","")&amp;IF(AND(K44&lt;&gt;"",K44&lt;=2,Q44&lt;&gt;"",Q44&gt;=Weights!$E$4),"High score, hard to reach. ","")))</f>
        <v/>
      </c>
    </row>
    <row r="45">
      <c r="A45" s="30" t="n"/>
      <c r="B45" s="30" t="n"/>
      <c r="C45" s="30" t="n"/>
      <c r="D45" s="30" t="n"/>
      <c r="E45" s="30" t="n"/>
      <c r="F45" s="31" t="n"/>
      <c r="G45" s="30" t="n"/>
      <c r="H45" s="30" t="n"/>
      <c r="I45" s="30" t="n"/>
      <c r="J45" s="30" t="n"/>
      <c r="K45" s="30" t="n"/>
      <c r="L45" s="30" t="n"/>
      <c r="M45" s="30" t="n"/>
      <c r="N45" s="32" t="n"/>
      <c r="O45" s="26">
        <f>IF(OR(I45="",G45=""),IF(I45="","",I45*0.4),I45*IFERROR(VLOOKUP(G45,Weights!$D$11:$E$13,2,FALSE),0.4)*IF(F45="",1,IF(TODAY()-F45&lt;=Weights!$E$7,Weights!$E$16,IF(TODAY()-F45&lt;=Weights!$E$8,Weights!$E$17,Weights!$E$18))))</f>
        <v/>
      </c>
      <c r="P45" s="27">
        <f>IF(N45="","",MIN(5,MAX(1,ROUND(5*N45/Weights!$E$6,0))))</f>
        <v/>
      </c>
      <c r="Q45" s="28">
        <f>IF(OR(A45="",C45="Y",D45="",O45="",J45="",K45="",P45=""),"",(D45*Weights!$B$4+O45*Weights!$B$5+J45*Weights!$B$6+K45*Weights!$B$7+P45*Weights!$B$8)/5)</f>
        <v/>
      </c>
      <c r="R45" s="27">
        <f>IF(A45="","",IF(C45="Y","Excluded",IF(Q45="","Incomplete",IF(Q45&gt;=Weights!$E$4,"A",IF(Q45&gt;=Weights!$E$5,"B","C")))))</f>
        <v/>
      </c>
      <c r="S45" s="29">
        <f>IF(Q45="","",Q45+ROW()/10000000)</f>
        <v/>
      </c>
      <c r="T45" s="27">
        <f>IF(S45="","",RANK(S45,$S$4:$S$53))</f>
        <v/>
      </c>
      <c r="U45" s="27">
        <f>IF(R45="","",IFERROR(VLOOKUP(R45,Weights!$A$13:$B$16,2,FALSE),""))</f>
        <v/>
      </c>
      <c r="V45" s="27">
        <f>IF(A45="","",TRIM(IF(AND(E45&lt;&gt;"",H45=""),"Add a source. ","")&amp;IF(AND(E45="",C45&lt;&gt;"Y"),"No trigger recorded. ","")&amp;IF(AND(K45&lt;&gt;"",K45&lt;=2,Q45&lt;&gt;"",Q45&gt;=Weights!$E$4),"High score, hard to reach. ","")))</f>
        <v/>
      </c>
    </row>
    <row r="46">
      <c r="A46" s="30" t="n"/>
      <c r="B46" s="30" t="n"/>
      <c r="C46" s="30" t="n"/>
      <c r="D46" s="30" t="n"/>
      <c r="E46" s="30" t="n"/>
      <c r="F46" s="31" t="n"/>
      <c r="G46" s="30" t="n"/>
      <c r="H46" s="30" t="n"/>
      <c r="I46" s="30" t="n"/>
      <c r="J46" s="30" t="n"/>
      <c r="K46" s="30" t="n"/>
      <c r="L46" s="30" t="n"/>
      <c r="M46" s="30" t="n"/>
      <c r="N46" s="32" t="n"/>
      <c r="O46" s="26">
        <f>IF(OR(I46="",G46=""),IF(I46="","",I46*0.4),I46*IFERROR(VLOOKUP(G46,Weights!$D$11:$E$13,2,FALSE),0.4)*IF(F46="",1,IF(TODAY()-F46&lt;=Weights!$E$7,Weights!$E$16,IF(TODAY()-F46&lt;=Weights!$E$8,Weights!$E$17,Weights!$E$18))))</f>
        <v/>
      </c>
      <c r="P46" s="27">
        <f>IF(N46="","",MIN(5,MAX(1,ROUND(5*N46/Weights!$E$6,0))))</f>
        <v/>
      </c>
      <c r="Q46" s="28">
        <f>IF(OR(A46="",C46="Y",D46="",O46="",J46="",K46="",P46=""),"",(D46*Weights!$B$4+O46*Weights!$B$5+J46*Weights!$B$6+K46*Weights!$B$7+P46*Weights!$B$8)/5)</f>
        <v/>
      </c>
      <c r="R46" s="27">
        <f>IF(A46="","",IF(C46="Y","Excluded",IF(Q46="","Incomplete",IF(Q46&gt;=Weights!$E$4,"A",IF(Q46&gt;=Weights!$E$5,"B","C")))))</f>
        <v/>
      </c>
      <c r="S46" s="29">
        <f>IF(Q46="","",Q46+ROW()/10000000)</f>
        <v/>
      </c>
      <c r="T46" s="27">
        <f>IF(S46="","",RANK(S46,$S$4:$S$53))</f>
        <v/>
      </c>
      <c r="U46" s="27">
        <f>IF(R46="","",IFERROR(VLOOKUP(R46,Weights!$A$13:$B$16,2,FALSE),""))</f>
        <v/>
      </c>
      <c r="V46" s="27">
        <f>IF(A46="","",TRIM(IF(AND(E46&lt;&gt;"",H46=""),"Add a source. ","")&amp;IF(AND(E46="",C46&lt;&gt;"Y"),"No trigger recorded. ","")&amp;IF(AND(K46&lt;&gt;"",K46&lt;=2,Q46&lt;&gt;"",Q46&gt;=Weights!$E$4),"High score, hard to reach. ","")))</f>
        <v/>
      </c>
    </row>
    <row r="47">
      <c r="A47" s="30" t="n"/>
      <c r="B47" s="30" t="n"/>
      <c r="C47" s="30" t="n"/>
      <c r="D47" s="30" t="n"/>
      <c r="E47" s="30" t="n"/>
      <c r="F47" s="31" t="n"/>
      <c r="G47" s="30" t="n"/>
      <c r="H47" s="30" t="n"/>
      <c r="I47" s="30" t="n"/>
      <c r="J47" s="30" t="n"/>
      <c r="K47" s="30" t="n"/>
      <c r="L47" s="30" t="n"/>
      <c r="M47" s="30" t="n"/>
      <c r="N47" s="32" t="n"/>
      <c r="O47" s="26">
        <f>IF(OR(I47="",G47=""),IF(I47="","",I47*0.4),I47*IFERROR(VLOOKUP(G47,Weights!$D$11:$E$13,2,FALSE),0.4)*IF(F47="",1,IF(TODAY()-F47&lt;=Weights!$E$7,Weights!$E$16,IF(TODAY()-F47&lt;=Weights!$E$8,Weights!$E$17,Weights!$E$18))))</f>
        <v/>
      </c>
      <c r="P47" s="27">
        <f>IF(N47="","",MIN(5,MAX(1,ROUND(5*N47/Weights!$E$6,0))))</f>
        <v/>
      </c>
      <c r="Q47" s="28">
        <f>IF(OR(A47="",C47="Y",D47="",O47="",J47="",K47="",P47=""),"",(D47*Weights!$B$4+O47*Weights!$B$5+J47*Weights!$B$6+K47*Weights!$B$7+P47*Weights!$B$8)/5)</f>
        <v/>
      </c>
      <c r="R47" s="27">
        <f>IF(A47="","",IF(C47="Y","Excluded",IF(Q47="","Incomplete",IF(Q47&gt;=Weights!$E$4,"A",IF(Q47&gt;=Weights!$E$5,"B","C")))))</f>
        <v/>
      </c>
      <c r="S47" s="29">
        <f>IF(Q47="","",Q47+ROW()/10000000)</f>
        <v/>
      </c>
      <c r="T47" s="27">
        <f>IF(S47="","",RANK(S47,$S$4:$S$53))</f>
        <v/>
      </c>
      <c r="U47" s="27">
        <f>IF(R47="","",IFERROR(VLOOKUP(R47,Weights!$A$13:$B$16,2,FALSE),""))</f>
        <v/>
      </c>
      <c r="V47" s="27">
        <f>IF(A47="","",TRIM(IF(AND(E47&lt;&gt;"",H47=""),"Add a source. ","")&amp;IF(AND(E47="",C47&lt;&gt;"Y"),"No trigger recorded. ","")&amp;IF(AND(K47&lt;&gt;"",K47&lt;=2,Q47&lt;&gt;"",Q47&gt;=Weights!$E$4),"High score, hard to reach. ","")))</f>
        <v/>
      </c>
    </row>
    <row r="48">
      <c r="A48" s="30" t="n"/>
      <c r="B48" s="30" t="n"/>
      <c r="C48" s="30" t="n"/>
      <c r="D48" s="30" t="n"/>
      <c r="E48" s="30" t="n"/>
      <c r="F48" s="31" t="n"/>
      <c r="G48" s="30" t="n"/>
      <c r="H48" s="30" t="n"/>
      <c r="I48" s="30" t="n"/>
      <c r="J48" s="30" t="n"/>
      <c r="K48" s="30" t="n"/>
      <c r="L48" s="30" t="n"/>
      <c r="M48" s="30" t="n"/>
      <c r="N48" s="32" t="n"/>
      <c r="O48" s="26">
        <f>IF(OR(I48="",G48=""),IF(I48="","",I48*0.4),I48*IFERROR(VLOOKUP(G48,Weights!$D$11:$E$13,2,FALSE),0.4)*IF(F48="",1,IF(TODAY()-F48&lt;=Weights!$E$7,Weights!$E$16,IF(TODAY()-F48&lt;=Weights!$E$8,Weights!$E$17,Weights!$E$18))))</f>
        <v/>
      </c>
      <c r="P48" s="27">
        <f>IF(N48="","",MIN(5,MAX(1,ROUND(5*N48/Weights!$E$6,0))))</f>
        <v/>
      </c>
      <c r="Q48" s="28">
        <f>IF(OR(A48="",C48="Y",D48="",O48="",J48="",K48="",P48=""),"",(D48*Weights!$B$4+O48*Weights!$B$5+J48*Weights!$B$6+K48*Weights!$B$7+P48*Weights!$B$8)/5)</f>
        <v/>
      </c>
      <c r="R48" s="27">
        <f>IF(A48="","",IF(C48="Y","Excluded",IF(Q48="","Incomplete",IF(Q48&gt;=Weights!$E$4,"A",IF(Q48&gt;=Weights!$E$5,"B","C")))))</f>
        <v/>
      </c>
      <c r="S48" s="29">
        <f>IF(Q48="","",Q48+ROW()/10000000)</f>
        <v/>
      </c>
      <c r="T48" s="27">
        <f>IF(S48="","",RANK(S48,$S$4:$S$53))</f>
        <v/>
      </c>
      <c r="U48" s="27">
        <f>IF(R48="","",IFERROR(VLOOKUP(R48,Weights!$A$13:$B$16,2,FALSE),""))</f>
        <v/>
      </c>
      <c r="V48" s="27">
        <f>IF(A48="","",TRIM(IF(AND(E48&lt;&gt;"",H48=""),"Add a source. ","")&amp;IF(AND(E48="",C48&lt;&gt;"Y"),"No trigger recorded. ","")&amp;IF(AND(K48&lt;&gt;"",K48&lt;=2,Q48&lt;&gt;"",Q48&gt;=Weights!$E$4),"High score, hard to reach. ","")))</f>
        <v/>
      </c>
    </row>
    <row r="49">
      <c r="A49" s="30" t="n"/>
      <c r="B49" s="30" t="n"/>
      <c r="C49" s="30" t="n"/>
      <c r="D49" s="30" t="n"/>
      <c r="E49" s="30" t="n"/>
      <c r="F49" s="31" t="n"/>
      <c r="G49" s="30" t="n"/>
      <c r="H49" s="30" t="n"/>
      <c r="I49" s="30" t="n"/>
      <c r="J49" s="30" t="n"/>
      <c r="K49" s="30" t="n"/>
      <c r="L49" s="30" t="n"/>
      <c r="M49" s="30" t="n"/>
      <c r="N49" s="32" t="n"/>
      <c r="O49" s="26">
        <f>IF(OR(I49="",G49=""),IF(I49="","",I49*0.4),I49*IFERROR(VLOOKUP(G49,Weights!$D$11:$E$13,2,FALSE),0.4)*IF(F49="",1,IF(TODAY()-F49&lt;=Weights!$E$7,Weights!$E$16,IF(TODAY()-F49&lt;=Weights!$E$8,Weights!$E$17,Weights!$E$18))))</f>
        <v/>
      </c>
      <c r="P49" s="27">
        <f>IF(N49="","",MIN(5,MAX(1,ROUND(5*N49/Weights!$E$6,0))))</f>
        <v/>
      </c>
      <c r="Q49" s="28">
        <f>IF(OR(A49="",C49="Y",D49="",O49="",J49="",K49="",P49=""),"",(D49*Weights!$B$4+O49*Weights!$B$5+J49*Weights!$B$6+K49*Weights!$B$7+P49*Weights!$B$8)/5)</f>
        <v/>
      </c>
      <c r="R49" s="27">
        <f>IF(A49="","",IF(C49="Y","Excluded",IF(Q49="","Incomplete",IF(Q49&gt;=Weights!$E$4,"A",IF(Q49&gt;=Weights!$E$5,"B","C")))))</f>
        <v/>
      </c>
      <c r="S49" s="29">
        <f>IF(Q49="","",Q49+ROW()/10000000)</f>
        <v/>
      </c>
      <c r="T49" s="27">
        <f>IF(S49="","",RANK(S49,$S$4:$S$53))</f>
        <v/>
      </c>
      <c r="U49" s="27">
        <f>IF(R49="","",IFERROR(VLOOKUP(R49,Weights!$A$13:$B$16,2,FALSE),""))</f>
        <v/>
      </c>
      <c r="V49" s="27">
        <f>IF(A49="","",TRIM(IF(AND(E49&lt;&gt;"",H49=""),"Add a source. ","")&amp;IF(AND(E49="",C49&lt;&gt;"Y"),"No trigger recorded. ","")&amp;IF(AND(K49&lt;&gt;"",K49&lt;=2,Q49&lt;&gt;"",Q49&gt;=Weights!$E$4),"High score, hard to reach. ","")))</f>
        <v/>
      </c>
    </row>
    <row r="50">
      <c r="A50" s="30" t="n"/>
      <c r="B50" s="30" t="n"/>
      <c r="C50" s="30" t="n"/>
      <c r="D50" s="30" t="n"/>
      <c r="E50" s="30" t="n"/>
      <c r="F50" s="31" t="n"/>
      <c r="G50" s="30" t="n"/>
      <c r="H50" s="30" t="n"/>
      <c r="I50" s="30" t="n"/>
      <c r="J50" s="30" t="n"/>
      <c r="K50" s="30" t="n"/>
      <c r="L50" s="30" t="n"/>
      <c r="M50" s="30" t="n"/>
      <c r="N50" s="32" t="n"/>
      <c r="O50" s="26">
        <f>IF(OR(I50="",G50=""),IF(I50="","",I50*0.4),I50*IFERROR(VLOOKUP(G50,Weights!$D$11:$E$13,2,FALSE),0.4)*IF(F50="",1,IF(TODAY()-F50&lt;=Weights!$E$7,Weights!$E$16,IF(TODAY()-F50&lt;=Weights!$E$8,Weights!$E$17,Weights!$E$18))))</f>
        <v/>
      </c>
      <c r="P50" s="27">
        <f>IF(N50="","",MIN(5,MAX(1,ROUND(5*N50/Weights!$E$6,0))))</f>
        <v/>
      </c>
      <c r="Q50" s="28">
        <f>IF(OR(A50="",C50="Y",D50="",O50="",J50="",K50="",P50=""),"",(D50*Weights!$B$4+O50*Weights!$B$5+J50*Weights!$B$6+K50*Weights!$B$7+P50*Weights!$B$8)/5)</f>
        <v/>
      </c>
      <c r="R50" s="27">
        <f>IF(A50="","",IF(C50="Y","Excluded",IF(Q50="","Incomplete",IF(Q50&gt;=Weights!$E$4,"A",IF(Q50&gt;=Weights!$E$5,"B","C")))))</f>
        <v/>
      </c>
      <c r="S50" s="29">
        <f>IF(Q50="","",Q50+ROW()/10000000)</f>
        <v/>
      </c>
      <c r="T50" s="27">
        <f>IF(S50="","",RANK(S50,$S$4:$S$53))</f>
        <v/>
      </c>
      <c r="U50" s="27">
        <f>IF(R50="","",IFERROR(VLOOKUP(R50,Weights!$A$13:$B$16,2,FALSE),""))</f>
        <v/>
      </c>
      <c r="V50" s="27">
        <f>IF(A50="","",TRIM(IF(AND(E50&lt;&gt;"",H50=""),"Add a source. ","")&amp;IF(AND(E50="",C50&lt;&gt;"Y"),"No trigger recorded. ","")&amp;IF(AND(K50&lt;&gt;"",K50&lt;=2,Q50&lt;&gt;"",Q50&gt;=Weights!$E$4),"High score, hard to reach. ","")))</f>
        <v/>
      </c>
    </row>
    <row r="51">
      <c r="A51" s="30" t="n"/>
      <c r="B51" s="30" t="n"/>
      <c r="C51" s="30" t="n"/>
      <c r="D51" s="30" t="n"/>
      <c r="E51" s="30" t="n"/>
      <c r="F51" s="31" t="n"/>
      <c r="G51" s="30" t="n"/>
      <c r="H51" s="30" t="n"/>
      <c r="I51" s="30" t="n"/>
      <c r="J51" s="30" t="n"/>
      <c r="K51" s="30" t="n"/>
      <c r="L51" s="30" t="n"/>
      <c r="M51" s="30" t="n"/>
      <c r="N51" s="32" t="n"/>
      <c r="O51" s="26">
        <f>IF(OR(I51="",G51=""),IF(I51="","",I51*0.4),I51*IFERROR(VLOOKUP(G51,Weights!$D$11:$E$13,2,FALSE),0.4)*IF(F51="",1,IF(TODAY()-F51&lt;=Weights!$E$7,Weights!$E$16,IF(TODAY()-F51&lt;=Weights!$E$8,Weights!$E$17,Weights!$E$18))))</f>
        <v/>
      </c>
      <c r="P51" s="27">
        <f>IF(N51="","",MIN(5,MAX(1,ROUND(5*N51/Weights!$E$6,0))))</f>
        <v/>
      </c>
      <c r="Q51" s="28">
        <f>IF(OR(A51="",C51="Y",D51="",O51="",J51="",K51="",P51=""),"",(D51*Weights!$B$4+O51*Weights!$B$5+J51*Weights!$B$6+K51*Weights!$B$7+P51*Weights!$B$8)/5)</f>
        <v/>
      </c>
      <c r="R51" s="27">
        <f>IF(A51="","",IF(C51="Y","Excluded",IF(Q51="","Incomplete",IF(Q51&gt;=Weights!$E$4,"A",IF(Q51&gt;=Weights!$E$5,"B","C")))))</f>
        <v/>
      </c>
      <c r="S51" s="29">
        <f>IF(Q51="","",Q51+ROW()/10000000)</f>
        <v/>
      </c>
      <c r="T51" s="27">
        <f>IF(S51="","",RANK(S51,$S$4:$S$53))</f>
        <v/>
      </c>
      <c r="U51" s="27">
        <f>IF(R51="","",IFERROR(VLOOKUP(R51,Weights!$A$13:$B$16,2,FALSE),""))</f>
        <v/>
      </c>
      <c r="V51" s="27">
        <f>IF(A51="","",TRIM(IF(AND(E51&lt;&gt;"",H51=""),"Add a source. ","")&amp;IF(AND(E51="",C51&lt;&gt;"Y"),"No trigger recorded. ","")&amp;IF(AND(K51&lt;&gt;"",K51&lt;=2,Q51&lt;&gt;"",Q51&gt;=Weights!$E$4),"High score, hard to reach. ","")))</f>
        <v/>
      </c>
    </row>
    <row r="52">
      <c r="A52" s="30" t="n"/>
      <c r="B52" s="30" t="n"/>
      <c r="C52" s="30" t="n"/>
      <c r="D52" s="30" t="n"/>
      <c r="E52" s="30" t="n"/>
      <c r="F52" s="31" t="n"/>
      <c r="G52" s="30" t="n"/>
      <c r="H52" s="30" t="n"/>
      <c r="I52" s="30" t="n"/>
      <c r="J52" s="30" t="n"/>
      <c r="K52" s="30" t="n"/>
      <c r="L52" s="30" t="n"/>
      <c r="M52" s="30" t="n"/>
      <c r="N52" s="32" t="n"/>
      <c r="O52" s="26">
        <f>IF(OR(I52="",G52=""),IF(I52="","",I52*0.4),I52*IFERROR(VLOOKUP(G52,Weights!$D$11:$E$13,2,FALSE),0.4)*IF(F52="",1,IF(TODAY()-F52&lt;=Weights!$E$7,Weights!$E$16,IF(TODAY()-F52&lt;=Weights!$E$8,Weights!$E$17,Weights!$E$18))))</f>
        <v/>
      </c>
      <c r="P52" s="27">
        <f>IF(N52="","",MIN(5,MAX(1,ROUND(5*N52/Weights!$E$6,0))))</f>
        <v/>
      </c>
      <c r="Q52" s="28">
        <f>IF(OR(A52="",C52="Y",D52="",O52="",J52="",K52="",P52=""),"",(D52*Weights!$B$4+O52*Weights!$B$5+J52*Weights!$B$6+K52*Weights!$B$7+P52*Weights!$B$8)/5)</f>
        <v/>
      </c>
      <c r="R52" s="27">
        <f>IF(A52="","",IF(C52="Y","Excluded",IF(Q52="","Incomplete",IF(Q52&gt;=Weights!$E$4,"A",IF(Q52&gt;=Weights!$E$5,"B","C")))))</f>
        <v/>
      </c>
      <c r="S52" s="29">
        <f>IF(Q52="","",Q52+ROW()/10000000)</f>
        <v/>
      </c>
      <c r="T52" s="27">
        <f>IF(S52="","",RANK(S52,$S$4:$S$53))</f>
        <v/>
      </c>
      <c r="U52" s="27">
        <f>IF(R52="","",IFERROR(VLOOKUP(R52,Weights!$A$13:$B$16,2,FALSE),""))</f>
        <v/>
      </c>
      <c r="V52" s="27">
        <f>IF(A52="","",TRIM(IF(AND(E52&lt;&gt;"",H52=""),"Add a source. ","")&amp;IF(AND(E52="",C52&lt;&gt;"Y"),"No trigger recorded. ","")&amp;IF(AND(K52&lt;&gt;"",K52&lt;=2,Q52&lt;&gt;"",Q52&gt;=Weights!$E$4),"High score, hard to reach. ","")))</f>
        <v/>
      </c>
    </row>
    <row r="53">
      <c r="A53" s="30" t="n"/>
      <c r="B53" s="30" t="n"/>
      <c r="C53" s="30" t="n"/>
      <c r="D53" s="30" t="n"/>
      <c r="E53" s="30" t="n"/>
      <c r="F53" s="31" t="n"/>
      <c r="G53" s="30" t="n"/>
      <c r="H53" s="30" t="n"/>
      <c r="I53" s="30" t="n"/>
      <c r="J53" s="30" t="n"/>
      <c r="K53" s="30" t="n"/>
      <c r="L53" s="30" t="n"/>
      <c r="M53" s="30" t="n"/>
      <c r="N53" s="32" t="n"/>
      <c r="O53" s="26">
        <f>IF(OR(I53="",G53=""),IF(I53="","",I53*0.4),I53*IFERROR(VLOOKUP(G53,Weights!$D$11:$E$13,2,FALSE),0.4)*IF(F53="",1,IF(TODAY()-F53&lt;=Weights!$E$7,Weights!$E$16,IF(TODAY()-F53&lt;=Weights!$E$8,Weights!$E$17,Weights!$E$18))))</f>
        <v/>
      </c>
      <c r="P53" s="27">
        <f>IF(N53="","",MIN(5,MAX(1,ROUND(5*N53/Weights!$E$6,0))))</f>
        <v/>
      </c>
      <c r="Q53" s="28">
        <f>IF(OR(A53="",C53="Y",D53="",O53="",J53="",K53="",P53=""),"",(D53*Weights!$B$4+O53*Weights!$B$5+J53*Weights!$B$6+K53*Weights!$B$7+P53*Weights!$B$8)/5)</f>
        <v/>
      </c>
      <c r="R53" s="27">
        <f>IF(A53="","",IF(C53="Y","Excluded",IF(Q53="","Incomplete",IF(Q53&gt;=Weights!$E$4,"A",IF(Q53&gt;=Weights!$E$5,"B","C")))))</f>
        <v/>
      </c>
      <c r="S53" s="29">
        <f>IF(Q53="","",Q53+ROW()/10000000)</f>
        <v/>
      </c>
      <c r="T53" s="27">
        <f>IF(S53="","",RANK(S53,$S$4:$S$53))</f>
        <v/>
      </c>
      <c r="U53" s="27">
        <f>IF(R53="","",IFERROR(VLOOKUP(R53,Weights!$A$13:$B$16,2,FALSE),""))</f>
        <v/>
      </c>
      <c r="V53" s="27">
        <f>IF(A53="","",TRIM(IF(AND(E53&lt;&gt;"",H53=""),"Add a source. ","")&amp;IF(AND(E53="",C53&lt;&gt;"Y"),"No trigger recorded. ","")&amp;IF(AND(K53&lt;&gt;"",K53&lt;=2,Q53&lt;&gt;"",Q53&gt;=Weights!$E$4),"High score, hard to reach. ","")))</f>
        <v/>
      </c>
    </row>
  </sheetData>
  <conditionalFormatting sqref="R4:R53">
    <cfRule type="cellIs" priority="1" operator="equal" dxfId="0">
      <formula>"A"</formula>
    </cfRule>
    <cfRule type="cellIs" priority="2" operator="equal" dxfId="1">
      <formula>"B"</formula>
    </cfRule>
    <cfRule type="cellIs" priority="3" operator="equal" dxfId="2">
      <formula>"Excluded"</formula>
    </cfRule>
  </conditionalFormatting>
  <dataValidations count="7">
    <dataValidation sqref="D4:D53" showDropDown="0" showInputMessage="0" showErrorMessage="0" allowBlank="1" error="Enter 1 to 5." type="whole" operator="between">
      <formula1>1</formula1>
      <formula2>5</formula2>
    </dataValidation>
    <dataValidation sqref="I4:I53" showDropDown="0" showInputMessage="0" showErrorMessage="0" allowBlank="1" error="Enter 1 to 5." type="whole" operator="between">
      <formula1>1</formula1>
      <formula2>5</formula2>
    </dataValidation>
    <dataValidation sqref="J4:J53" showDropDown="0" showInputMessage="0" showErrorMessage="0" allowBlank="1" error="Enter 1 to 5." type="whole" operator="between">
      <formula1>1</formula1>
      <formula2>5</formula2>
    </dataValidation>
    <dataValidation sqref="K4:K53" showDropDown="0" showInputMessage="0" showErrorMessage="0" allowBlank="1" error="Enter 1 to 5." type="whole" operator="between">
      <formula1>1</formula1>
      <formula2>5</formula2>
    </dataValidation>
    <dataValidation sqref="C4:C53" showDropDown="0" showInputMessage="0" showErrorMessage="0" allowBlank="1" type="list">
      <formula1>"Y"</formula1>
    </dataValidation>
    <dataValidation sqref="G4:G53" showDropDown="0" showInputMessage="0" showErrorMessage="0" allowBlank="1" type="list">
      <formula1>"Confirmed,Probable,Unverified"</formula1>
    </dataValidation>
    <dataValidation sqref="M4:M53" showDropDown="0" showInputMessage="0" showErrorMessage="0" allowBlank="1" type="list">
      <formula1>"None,Cold touch,Warm,Customer"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9" customWidth="1" min="3" max="3"/>
    <col width="7" customWidth="1" min="4" max="4"/>
    <col width="32" customWidth="1" min="5" max="5"/>
    <col width="26" customWidth="1" min="6" max="6"/>
    <col width="52" customWidth="1" min="7" max="7"/>
  </cols>
  <sheetData>
    <row r="1">
      <c r="A1" s="9" t="inlineStr">
        <is>
          <t>Your order of play</t>
        </is>
      </c>
    </row>
    <row r="3" ht="30" customHeight="1">
      <c r="A3" s="10" t="inlineStr">
        <is>
          <t>#</t>
        </is>
      </c>
      <c r="B3" s="10" t="inlineStr">
        <is>
          <t>Account</t>
        </is>
      </c>
      <c r="C3" s="10" t="inlineStr">
        <is>
          <t>Score</t>
        </is>
      </c>
      <c r="D3" s="10" t="inlineStr">
        <is>
          <t>Tier</t>
        </is>
      </c>
      <c r="E3" s="10" t="inlineStr">
        <is>
          <t>Trigger</t>
        </is>
      </c>
      <c r="F3" s="10" t="inlineStr">
        <is>
          <t>Named contacts</t>
        </is>
      </c>
      <c r="G3" s="10" t="inlineStr">
        <is>
          <t>First action</t>
        </is>
      </c>
    </row>
    <row r="4">
      <c r="A4" s="33" t="n">
        <v>1</v>
      </c>
      <c r="B4" s="27">
        <f>IFERROR(INDEX(Accounts!$A$4:$A$53,MATCH(1,Accounts!$T$4:$T$53,0))&amp;"","")</f>
        <v/>
      </c>
      <c r="C4" s="28">
        <f>IFERROR(INDEX(Accounts!$Q$4:$Q$53,MATCH(1,Accounts!$T$4:$T$53,0)),"")</f>
        <v/>
      </c>
      <c r="D4" s="27">
        <f>IFERROR(INDEX(Accounts!$R$4:$R$53,MATCH(1,Accounts!$T$4:$T$53,0))&amp;"","")</f>
        <v/>
      </c>
      <c r="E4" s="27">
        <f>IFERROR(INDEX(Accounts!$E$4:$E$53,MATCH(1,Accounts!$T$4:$T$53,0))&amp;"","")</f>
        <v/>
      </c>
      <c r="F4" s="27">
        <f>IFERROR(INDEX(Accounts!$L$4:$L$53,MATCH(1,Accounts!$T$4:$T$53,0))&amp;"","")</f>
        <v/>
      </c>
      <c r="G4" s="27">
        <f>IFERROR(INDEX(Accounts!$U$4:$U$53,MATCH(1,Accounts!$T$4:$T$53,0))&amp;"","")</f>
        <v/>
      </c>
    </row>
    <row r="5">
      <c r="A5" s="33" t="n">
        <v>2</v>
      </c>
      <c r="B5" s="27">
        <f>IFERROR(INDEX(Accounts!$A$4:$A$53,MATCH(2,Accounts!$T$4:$T$53,0))&amp;"","")</f>
        <v/>
      </c>
      <c r="C5" s="28">
        <f>IFERROR(INDEX(Accounts!$Q$4:$Q$53,MATCH(2,Accounts!$T$4:$T$53,0)),"")</f>
        <v/>
      </c>
      <c r="D5" s="27">
        <f>IFERROR(INDEX(Accounts!$R$4:$R$53,MATCH(2,Accounts!$T$4:$T$53,0))&amp;"","")</f>
        <v/>
      </c>
      <c r="E5" s="27">
        <f>IFERROR(INDEX(Accounts!$E$4:$E$53,MATCH(2,Accounts!$T$4:$T$53,0))&amp;"","")</f>
        <v/>
      </c>
      <c r="F5" s="27">
        <f>IFERROR(INDEX(Accounts!$L$4:$L$53,MATCH(2,Accounts!$T$4:$T$53,0))&amp;"","")</f>
        <v/>
      </c>
      <c r="G5" s="27">
        <f>IFERROR(INDEX(Accounts!$U$4:$U$53,MATCH(2,Accounts!$T$4:$T$53,0))&amp;"","")</f>
        <v/>
      </c>
    </row>
    <row r="6">
      <c r="A6" s="33" t="n">
        <v>3</v>
      </c>
      <c r="B6" s="27">
        <f>IFERROR(INDEX(Accounts!$A$4:$A$53,MATCH(3,Accounts!$T$4:$T$53,0))&amp;"","")</f>
        <v/>
      </c>
      <c r="C6" s="28">
        <f>IFERROR(INDEX(Accounts!$Q$4:$Q$53,MATCH(3,Accounts!$T$4:$T$53,0)),"")</f>
        <v/>
      </c>
      <c r="D6" s="27">
        <f>IFERROR(INDEX(Accounts!$R$4:$R$53,MATCH(3,Accounts!$T$4:$T$53,0))&amp;"","")</f>
        <v/>
      </c>
      <c r="E6" s="27">
        <f>IFERROR(INDEX(Accounts!$E$4:$E$53,MATCH(3,Accounts!$T$4:$T$53,0))&amp;"","")</f>
        <v/>
      </c>
      <c r="F6" s="27">
        <f>IFERROR(INDEX(Accounts!$L$4:$L$53,MATCH(3,Accounts!$T$4:$T$53,0))&amp;"","")</f>
        <v/>
      </c>
      <c r="G6" s="27">
        <f>IFERROR(INDEX(Accounts!$U$4:$U$53,MATCH(3,Accounts!$T$4:$T$53,0))&amp;"","")</f>
        <v/>
      </c>
    </row>
    <row r="7">
      <c r="A7" s="33" t="n">
        <v>4</v>
      </c>
      <c r="B7" s="27">
        <f>IFERROR(INDEX(Accounts!$A$4:$A$53,MATCH(4,Accounts!$T$4:$T$53,0))&amp;"","")</f>
        <v/>
      </c>
      <c r="C7" s="28">
        <f>IFERROR(INDEX(Accounts!$Q$4:$Q$53,MATCH(4,Accounts!$T$4:$T$53,0)),"")</f>
        <v/>
      </c>
      <c r="D7" s="27">
        <f>IFERROR(INDEX(Accounts!$R$4:$R$53,MATCH(4,Accounts!$T$4:$T$53,0))&amp;"","")</f>
        <v/>
      </c>
      <c r="E7" s="27">
        <f>IFERROR(INDEX(Accounts!$E$4:$E$53,MATCH(4,Accounts!$T$4:$T$53,0))&amp;"","")</f>
        <v/>
      </c>
      <c r="F7" s="27">
        <f>IFERROR(INDEX(Accounts!$L$4:$L$53,MATCH(4,Accounts!$T$4:$T$53,0))&amp;"","")</f>
        <v/>
      </c>
      <c r="G7" s="27">
        <f>IFERROR(INDEX(Accounts!$U$4:$U$53,MATCH(4,Accounts!$T$4:$T$53,0))&amp;"","")</f>
        <v/>
      </c>
    </row>
    <row r="8">
      <c r="A8" s="33" t="n">
        <v>5</v>
      </c>
      <c r="B8" s="27">
        <f>IFERROR(INDEX(Accounts!$A$4:$A$53,MATCH(5,Accounts!$T$4:$T$53,0))&amp;"","")</f>
        <v/>
      </c>
      <c r="C8" s="28">
        <f>IFERROR(INDEX(Accounts!$Q$4:$Q$53,MATCH(5,Accounts!$T$4:$T$53,0)),"")</f>
        <v/>
      </c>
      <c r="D8" s="27">
        <f>IFERROR(INDEX(Accounts!$R$4:$R$53,MATCH(5,Accounts!$T$4:$T$53,0))&amp;"","")</f>
        <v/>
      </c>
      <c r="E8" s="27">
        <f>IFERROR(INDEX(Accounts!$E$4:$E$53,MATCH(5,Accounts!$T$4:$T$53,0))&amp;"","")</f>
        <v/>
      </c>
      <c r="F8" s="27">
        <f>IFERROR(INDEX(Accounts!$L$4:$L$53,MATCH(5,Accounts!$T$4:$T$53,0))&amp;"","")</f>
        <v/>
      </c>
      <c r="G8" s="27">
        <f>IFERROR(INDEX(Accounts!$U$4:$U$53,MATCH(5,Accounts!$T$4:$T$53,0))&amp;"","")</f>
        <v/>
      </c>
    </row>
    <row r="9">
      <c r="A9" s="33" t="n">
        <v>6</v>
      </c>
      <c r="B9" s="27">
        <f>IFERROR(INDEX(Accounts!$A$4:$A$53,MATCH(6,Accounts!$T$4:$T$53,0))&amp;"","")</f>
        <v/>
      </c>
      <c r="C9" s="28">
        <f>IFERROR(INDEX(Accounts!$Q$4:$Q$53,MATCH(6,Accounts!$T$4:$T$53,0)),"")</f>
        <v/>
      </c>
      <c r="D9" s="27">
        <f>IFERROR(INDEX(Accounts!$R$4:$R$53,MATCH(6,Accounts!$T$4:$T$53,0))&amp;"","")</f>
        <v/>
      </c>
      <c r="E9" s="27">
        <f>IFERROR(INDEX(Accounts!$E$4:$E$53,MATCH(6,Accounts!$T$4:$T$53,0))&amp;"","")</f>
        <v/>
      </c>
      <c r="F9" s="27">
        <f>IFERROR(INDEX(Accounts!$L$4:$L$53,MATCH(6,Accounts!$T$4:$T$53,0))&amp;"","")</f>
        <v/>
      </c>
      <c r="G9" s="27">
        <f>IFERROR(INDEX(Accounts!$U$4:$U$53,MATCH(6,Accounts!$T$4:$T$53,0))&amp;"","")</f>
        <v/>
      </c>
    </row>
    <row r="10">
      <c r="A10" s="33" t="n">
        <v>7</v>
      </c>
      <c r="B10" s="27">
        <f>IFERROR(INDEX(Accounts!$A$4:$A$53,MATCH(7,Accounts!$T$4:$T$53,0))&amp;"","")</f>
        <v/>
      </c>
      <c r="C10" s="28">
        <f>IFERROR(INDEX(Accounts!$Q$4:$Q$53,MATCH(7,Accounts!$T$4:$T$53,0)),"")</f>
        <v/>
      </c>
      <c r="D10" s="27">
        <f>IFERROR(INDEX(Accounts!$R$4:$R$53,MATCH(7,Accounts!$T$4:$T$53,0))&amp;"","")</f>
        <v/>
      </c>
      <c r="E10" s="27">
        <f>IFERROR(INDEX(Accounts!$E$4:$E$53,MATCH(7,Accounts!$T$4:$T$53,0))&amp;"","")</f>
        <v/>
      </c>
      <c r="F10" s="27">
        <f>IFERROR(INDEX(Accounts!$L$4:$L$53,MATCH(7,Accounts!$T$4:$T$53,0))&amp;"","")</f>
        <v/>
      </c>
      <c r="G10" s="27">
        <f>IFERROR(INDEX(Accounts!$U$4:$U$53,MATCH(7,Accounts!$T$4:$T$53,0))&amp;"","")</f>
        <v/>
      </c>
    </row>
    <row r="11">
      <c r="A11" s="33" t="n">
        <v>8</v>
      </c>
      <c r="B11" s="27">
        <f>IFERROR(INDEX(Accounts!$A$4:$A$53,MATCH(8,Accounts!$T$4:$T$53,0))&amp;"","")</f>
        <v/>
      </c>
      <c r="C11" s="28">
        <f>IFERROR(INDEX(Accounts!$Q$4:$Q$53,MATCH(8,Accounts!$T$4:$T$53,0)),"")</f>
        <v/>
      </c>
      <c r="D11" s="27">
        <f>IFERROR(INDEX(Accounts!$R$4:$R$53,MATCH(8,Accounts!$T$4:$T$53,0))&amp;"","")</f>
        <v/>
      </c>
      <c r="E11" s="27">
        <f>IFERROR(INDEX(Accounts!$E$4:$E$53,MATCH(8,Accounts!$T$4:$T$53,0))&amp;"","")</f>
        <v/>
      </c>
      <c r="F11" s="27">
        <f>IFERROR(INDEX(Accounts!$L$4:$L$53,MATCH(8,Accounts!$T$4:$T$53,0))&amp;"","")</f>
        <v/>
      </c>
      <c r="G11" s="27">
        <f>IFERROR(INDEX(Accounts!$U$4:$U$53,MATCH(8,Accounts!$T$4:$T$53,0))&amp;"","")</f>
        <v/>
      </c>
    </row>
    <row r="12">
      <c r="A12" s="33" t="n">
        <v>9</v>
      </c>
      <c r="B12" s="27">
        <f>IFERROR(INDEX(Accounts!$A$4:$A$53,MATCH(9,Accounts!$T$4:$T$53,0))&amp;"","")</f>
        <v/>
      </c>
      <c r="C12" s="28">
        <f>IFERROR(INDEX(Accounts!$Q$4:$Q$53,MATCH(9,Accounts!$T$4:$T$53,0)),"")</f>
        <v/>
      </c>
      <c r="D12" s="27">
        <f>IFERROR(INDEX(Accounts!$R$4:$R$53,MATCH(9,Accounts!$T$4:$T$53,0))&amp;"","")</f>
        <v/>
      </c>
      <c r="E12" s="27">
        <f>IFERROR(INDEX(Accounts!$E$4:$E$53,MATCH(9,Accounts!$T$4:$T$53,0))&amp;"","")</f>
        <v/>
      </c>
      <c r="F12" s="27">
        <f>IFERROR(INDEX(Accounts!$L$4:$L$53,MATCH(9,Accounts!$T$4:$T$53,0))&amp;"","")</f>
        <v/>
      </c>
      <c r="G12" s="27">
        <f>IFERROR(INDEX(Accounts!$U$4:$U$53,MATCH(9,Accounts!$T$4:$T$53,0))&amp;"","")</f>
        <v/>
      </c>
    </row>
    <row r="13">
      <c r="A13" s="33" t="n">
        <v>10</v>
      </c>
      <c r="B13" s="27">
        <f>IFERROR(INDEX(Accounts!$A$4:$A$53,MATCH(10,Accounts!$T$4:$T$53,0))&amp;"","")</f>
        <v/>
      </c>
      <c r="C13" s="28">
        <f>IFERROR(INDEX(Accounts!$Q$4:$Q$53,MATCH(10,Accounts!$T$4:$T$53,0)),"")</f>
        <v/>
      </c>
      <c r="D13" s="27">
        <f>IFERROR(INDEX(Accounts!$R$4:$R$53,MATCH(10,Accounts!$T$4:$T$53,0))&amp;"","")</f>
        <v/>
      </c>
      <c r="E13" s="27">
        <f>IFERROR(INDEX(Accounts!$E$4:$E$53,MATCH(10,Accounts!$T$4:$T$53,0))&amp;"","")</f>
        <v/>
      </c>
      <c r="F13" s="27">
        <f>IFERROR(INDEX(Accounts!$L$4:$L$53,MATCH(10,Accounts!$T$4:$T$53,0))&amp;"","")</f>
        <v/>
      </c>
      <c r="G13" s="27">
        <f>IFERROR(INDEX(Accounts!$U$4:$U$53,MATCH(10,Accounts!$T$4:$T$53,0))&amp;"","")</f>
        <v/>
      </c>
    </row>
    <row r="14">
      <c r="A14" s="33" t="n">
        <v>11</v>
      </c>
      <c r="B14" s="27">
        <f>IFERROR(INDEX(Accounts!$A$4:$A$53,MATCH(11,Accounts!$T$4:$T$53,0))&amp;"","")</f>
        <v/>
      </c>
      <c r="C14" s="28">
        <f>IFERROR(INDEX(Accounts!$Q$4:$Q$53,MATCH(11,Accounts!$T$4:$T$53,0)),"")</f>
        <v/>
      </c>
      <c r="D14" s="27">
        <f>IFERROR(INDEX(Accounts!$R$4:$R$53,MATCH(11,Accounts!$T$4:$T$53,0))&amp;"","")</f>
        <v/>
      </c>
      <c r="E14" s="27">
        <f>IFERROR(INDEX(Accounts!$E$4:$E$53,MATCH(11,Accounts!$T$4:$T$53,0))&amp;"","")</f>
        <v/>
      </c>
      <c r="F14" s="27">
        <f>IFERROR(INDEX(Accounts!$L$4:$L$53,MATCH(11,Accounts!$T$4:$T$53,0))&amp;"","")</f>
        <v/>
      </c>
      <c r="G14" s="27">
        <f>IFERROR(INDEX(Accounts!$U$4:$U$53,MATCH(11,Accounts!$T$4:$T$53,0))&amp;"","")</f>
        <v/>
      </c>
    </row>
    <row r="15">
      <c r="A15" s="33" t="n">
        <v>12</v>
      </c>
      <c r="B15" s="27">
        <f>IFERROR(INDEX(Accounts!$A$4:$A$53,MATCH(12,Accounts!$T$4:$T$53,0))&amp;"","")</f>
        <v/>
      </c>
      <c r="C15" s="28">
        <f>IFERROR(INDEX(Accounts!$Q$4:$Q$53,MATCH(12,Accounts!$T$4:$T$53,0)),"")</f>
        <v/>
      </c>
      <c r="D15" s="27">
        <f>IFERROR(INDEX(Accounts!$R$4:$R$53,MATCH(12,Accounts!$T$4:$T$53,0))&amp;"","")</f>
        <v/>
      </c>
      <c r="E15" s="27">
        <f>IFERROR(INDEX(Accounts!$E$4:$E$53,MATCH(12,Accounts!$T$4:$T$53,0))&amp;"","")</f>
        <v/>
      </c>
      <c r="F15" s="27">
        <f>IFERROR(INDEX(Accounts!$L$4:$L$53,MATCH(12,Accounts!$T$4:$T$53,0))&amp;"","")</f>
        <v/>
      </c>
      <c r="G15" s="27">
        <f>IFERROR(INDEX(Accounts!$U$4:$U$53,MATCH(12,Accounts!$T$4:$T$53,0))&amp;"","")</f>
        <v/>
      </c>
    </row>
    <row r="16">
      <c r="A16" s="33" t="n">
        <v>13</v>
      </c>
      <c r="B16" s="27">
        <f>IFERROR(INDEX(Accounts!$A$4:$A$53,MATCH(13,Accounts!$T$4:$T$53,0))&amp;"","")</f>
        <v/>
      </c>
      <c r="C16" s="28">
        <f>IFERROR(INDEX(Accounts!$Q$4:$Q$53,MATCH(13,Accounts!$T$4:$T$53,0)),"")</f>
        <v/>
      </c>
      <c r="D16" s="27">
        <f>IFERROR(INDEX(Accounts!$R$4:$R$53,MATCH(13,Accounts!$T$4:$T$53,0))&amp;"","")</f>
        <v/>
      </c>
      <c r="E16" s="27">
        <f>IFERROR(INDEX(Accounts!$E$4:$E$53,MATCH(13,Accounts!$T$4:$T$53,0))&amp;"","")</f>
        <v/>
      </c>
      <c r="F16" s="27">
        <f>IFERROR(INDEX(Accounts!$L$4:$L$53,MATCH(13,Accounts!$T$4:$T$53,0))&amp;"","")</f>
        <v/>
      </c>
      <c r="G16" s="27">
        <f>IFERROR(INDEX(Accounts!$U$4:$U$53,MATCH(13,Accounts!$T$4:$T$53,0))&amp;"","")</f>
        <v/>
      </c>
    </row>
    <row r="17">
      <c r="A17" s="33" t="n">
        <v>14</v>
      </c>
      <c r="B17" s="27">
        <f>IFERROR(INDEX(Accounts!$A$4:$A$53,MATCH(14,Accounts!$T$4:$T$53,0))&amp;"","")</f>
        <v/>
      </c>
      <c r="C17" s="28">
        <f>IFERROR(INDEX(Accounts!$Q$4:$Q$53,MATCH(14,Accounts!$T$4:$T$53,0)),"")</f>
        <v/>
      </c>
      <c r="D17" s="27">
        <f>IFERROR(INDEX(Accounts!$R$4:$R$53,MATCH(14,Accounts!$T$4:$T$53,0))&amp;"","")</f>
        <v/>
      </c>
      <c r="E17" s="27">
        <f>IFERROR(INDEX(Accounts!$E$4:$E$53,MATCH(14,Accounts!$T$4:$T$53,0))&amp;"","")</f>
        <v/>
      </c>
      <c r="F17" s="27">
        <f>IFERROR(INDEX(Accounts!$L$4:$L$53,MATCH(14,Accounts!$T$4:$T$53,0))&amp;"","")</f>
        <v/>
      </c>
      <c r="G17" s="27">
        <f>IFERROR(INDEX(Accounts!$U$4:$U$53,MATCH(14,Accounts!$T$4:$T$53,0))&amp;"","")</f>
        <v/>
      </c>
    </row>
    <row r="18">
      <c r="A18" s="33" t="n">
        <v>15</v>
      </c>
      <c r="B18" s="27">
        <f>IFERROR(INDEX(Accounts!$A$4:$A$53,MATCH(15,Accounts!$T$4:$T$53,0))&amp;"","")</f>
        <v/>
      </c>
      <c r="C18" s="28">
        <f>IFERROR(INDEX(Accounts!$Q$4:$Q$53,MATCH(15,Accounts!$T$4:$T$53,0)),"")</f>
        <v/>
      </c>
      <c r="D18" s="27">
        <f>IFERROR(INDEX(Accounts!$R$4:$R$53,MATCH(15,Accounts!$T$4:$T$53,0))&amp;"","")</f>
        <v/>
      </c>
      <c r="E18" s="27">
        <f>IFERROR(INDEX(Accounts!$E$4:$E$53,MATCH(15,Accounts!$T$4:$T$53,0))&amp;"","")</f>
        <v/>
      </c>
      <c r="F18" s="27">
        <f>IFERROR(INDEX(Accounts!$L$4:$L$53,MATCH(15,Accounts!$T$4:$T$53,0))&amp;"","")</f>
        <v/>
      </c>
      <c r="G18" s="27">
        <f>IFERROR(INDEX(Accounts!$U$4:$U$53,MATCH(15,Accounts!$T$4:$T$53,0))&amp;"","")</f>
        <v/>
      </c>
    </row>
    <row r="19">
      <c r="A19" s="33" t="n">
        <v>16</v>
      </c>
      <c r="B19" s="27">
        <f>IFERROR(INDEX(Accounts!$A$4:$A$53,MATCH(16,Accounts!$T$4:$T$53,0))&amp;"","")</f>
        <v/>
      </c>
      <c r="C19" s="28">
        <f>IFERROR(INDEX(Accounts!$Q$4:$Q$53,MATCH(16,Accounts!$T$4:$T$53,0)),"")</f>
        <v/>
      </c>
      <c r="D19" s="27">
        <f>IFERROR(INDEX(Accounts!$R$4:$R$53,MATCH(16,Accounts!$T$4:$T$53,0))&amp;"","")</f>
        <v/>
      </c>
      <c r="E19" s="27">
        <f>IFERROR(INDEX(Accounts!$E$4:$E$53,MATCH(16,Accounts!$T$4:$T$53,0))&amp;"","")</f>
        <v/>
      </c>
      <c r="F19" s="27">
        <f>IFERROR(INDEX(Accounts!$L$4:$L$53,MATCH(16,Accounts!$T$4:$T$53,0))&amp;"","")</f>
        <v/>
      </c>
      <c r="G19" s="27">
        <f>IFERROR(INDEX(Accounts!$U$4:$U$53,MATCH(16,Accounts!$T$4:$T$53,0))&amp;"","")</f>
        <v/>
      </c>
    </row>
    <row r="20">
      <c r="A20" s="33" t="n">
        <v>17</v>
      </c>
      <c r="B20" s="27">
        <f>IFERROR(INDEX(Accounts!$A$4:$A$53,MATCH(17,Accounts!$T$4:$T$53,0))&amp;"","")</f>
        <v/>
      </c>
      <c r="C20" s="28">
        <f>IFERROR(INDEX(Accounts!$Q$4:$Q$53,MATCH(17,Accounts!$T$4:$T$53,0)),"")</f>
        <v/>
      </c>
      <c r="D20" s="27">
        <f>IFERROR(INDEX(Accounts!$R$4:$R$53,MATCH(17,Accounts!$T$4:$T$53,0))&amp;"","")</f>
        <v/>
      </c>
      <c r="E20" s="27">
        <f>IFERROR(INDEX(Accounts!$E$4:$E$53,MATCH(17,Accounts!$T$4:$T$53,0))&amp;"","")</f>
        <v/>
      </c>
      <c r="F20" s="27">
        <f>IFERROR(INDEX(Accounts!$L$4:$L$53,MATCH(17,Accounts!$T$4:$T$53,0))&amp;"","")</f>
        <v/>
      </c>
      <c r="G20" s="27">
        <f>IFERROR(INDEX(Accounts!$U$4:$U$53,MATCH(17,Accounts!$T$4:$T$53,0))&amp;"","")</f>
        <v/>
      </c>
    </row>
    <row r="21">
      <c r="A21" s="33" t="n">
        <v>18</v>
      </c>
      <c r="B21" s="27">
        <f>IFERROR(INDEX(Accounts!$A$4:$A$53,MATCH(18,Accounts!$T$4:$T$53,0))&amp;"","")</f>
        <v/>
      </c>
      <c r="C21" s="28">
        <f>IFERROR(INDEX(Accounts!$Q$4:$Q$53,MATCH(18,Accounts!$T$4:$T$53,0)),"")</f>
        <v/>
      </c>
      <c r="D21" s="27">
        <f>IFERROR(INDEX(Accounts!$R$4:$R$53,MATCH(18,Accounts!$T$4:$T$53,0))&amp;"","")</f>
        <v/>
      </c>
      <c r="E21" s="27">
        <f>IFERROR(INDEX(Accounts!$E$4:$E$53,MATCH(18,Accounts!$T$4:$T$53,0))&amp;"","")</f>
        <v/>
      </c>
      <c r="F21" s="27">
        <f>IFERROR(INDEX(Accounts!$L$4:$L$53,MATCH(18,Accounts!$T$4:$T$53,0))&amp;"","")</f>
        <v/>
      </c>
      <c r="G21" s="27">
        <f>IFERROR(INDEX(Accounts!$U$4:$U$53,MATCH(18,Accounts!$T$4:$T$53,0))&amp;"","")</f>
        <v/>
      </c>
    </row>
    <row r="22">
      <c r="A22" s="33" t="n">
        <v>19</v>
      </c>
      <c r="B22" s="27">
        <f>IFERROR(INDEX(Accounts!$A$4:$A$53,MATCH(19,Accounts!$T$4:$T$53,0))&amp;"","")</f>
        <v/>
      </c>
      <c r="C22" s="28">
        <f>IFERROR(INDEX(Accounts!$Q$4:$Q$53,MATCH(19,Accounts!$T$4:$T$53,0)),"")</f>
        <v/>
      </c>
      <c r="D22" s="27">
        <f>IFERROR(INDEX(Accounts!$R$4:$R$53,MATCH(19,Accounts!$T$4:$T$53,0))&amp;"","")</f>
        <v/>
      </c>
      <c r="E22" s="27">
        <f>IFERROR(INDEX(Accounts!$E$4:$E$53,MATCH(19,Accounts!$T$4:$T$53,0))&amp;"","")</f>
        <v/>
      </c>
      <c r="F22" s="27">
        <f>IFERROR(INDEX(Accounts!$L$4:$L$53,MATCH(19,Accounts!$T$4:$T$53,0))&amp;"","")</f>
        <v/>
      </c>
      <c r="G22" s="27">
        <f>IFERROR(INDEX(Accounts!$U$4:$U$53,MATCH(19,Accounts!$T$4:$T$53,0))&amp;"","")</f>
        <v/>
      </c>
    </row>
    <row r="23">
      <c r="A23" s="33" t="n">
        <v>20</v>
      </c>
      <c r="B23" s="27">
        <f>IFERROR(INDEX(Accounts!$A$4:$A$53,MATCH(20,Accounts!$T$4:$T$53,0))&amp;"","")</f>
        <v/>
      </c>
      <c r="C23" s="28">
        <f>IFERROR(INDEX(Accounts!$Q$4:$Q$53,MATCH(20,Accounts!$T$4:$T$53,0)),"")</f>
        <v/>
      </c>
      <c r="D23" s="27">
        <f>IFERROR(INDEX(Accounts!$R$4:$R$53,MATCH(20,Accounts!$T$4:$T$53,0))&amp;"","")</f>
        <v/>
      </c>
      <c r="E23" s="27">
        <f>IFERROR(INDEX(Accounts!$E$4:$E$53,MATCH(20,Accounts!$T$4:$T$53,0))&amp;"","")</f>
        <v/>
      </c>
      <c r="F23" s="27">
        <f>IFERROR(INDEX(Accounts!$L$4:$L$53,MATCH(20,Accounts!$T$4:$T$53,0))&amp;"","")</f>
        <v/>
      </c>
      <c r="G23" s="27">
        <f>IFERROR(INDEX(Accounts!$U$4:$U$53,MATCH(20,Accounts!$T$4:$T$53,0))&amp;"","")</f>
        <v/>
      </c>
    </row>
    <row r="24">
      <c r="A24" s="33" t="n">
        <v>21</v>
      </c>
      <c r="B24" s="27">
        <f>IFERROR(INDEX(Accounts!$A$4:$A$53,MATCH(21,Accounts!$T$4:$T$53,0))&amp;"","")</f>
        <v/>
      </c>
      <c r="C24" s="28">
        <f>IFERROR(INDEX(Accounts!$Q$4:$Q$53,MATCH(21,Accounts!$T$4:$T$53,0)),"")</f>
        <v/>
      </c>
      <c r="D24" s="27">
        <f>IFERROR(INDEX(Accounts!$R$4:$R$53,MATCH(21,Accounts!$T$4:$T$53,0))&amp;"","")</f>
        <v/>
      </c>
      <c r="E24" s="27">
        <f>IFERROR(INDEX(Accounts!$E$4:$E$53,MATCH(21,Accounts!$T$4:$T$53,0))&amp;"","")</f>
        <v/>
      </c>
      <c r="F24" s="27">
        <f>IFERROR(INDEX(Accounts!$L$4:$L$53,MATCH(21,Accounts!$T$4:$T$53,0))&amp;"","")</f>
        <v/>
      </c>
      <c r="G24" s="27">
        <f>IFERROR(INDEX(Accounts!$U$4:$U$53,MATCH(21,Accounts!$T$4:$T$53,0))&amp;"","")</f>
        <v/>
      </c>
    </row>
    <row r="25">
      <c r="A25" s="33" t="n">
        <v>22</v>
      </c>
      <c r="B25" s="27">
        <f>IFERROR(INDEX(Accounts!$A$4:$A$53,MATCH(22,Accounts!$T$4:$T$53,0))&amp;"","")</f>
        <v/>
      </c>
      <c r="C25" s="28">
        <f>IFERROR(INDEX(Accounts!$Q$4:$Q$53,MATCH(22,Accounts!$T$4:$T$53,0)),"")</f>
        <v/>
      </c>
      <c r="D25" s="27">
        <f>IFERROR(INDEX(Accounts!$R$4:$R$53,MATCH(22,Accounts!$T$4:$T$53,0))&amp;"","")</f>
        <v/>
      </c>
      <c r="E25" s="27">
        <f>IFERROR(INDEX(Accounts!$E$4:$E$53,MATCH(22,Accounts!$T$4:$T$53,0))&amp;"","")</f>
        <v/>
      </c>
      <c r="F25" s="27">
        <f>IFERROR(INDEX(Accounts!$L$4:$L$53,MATCH(22,Accounts!$T$4:$T$53,0))&amp;"","")</f>
        <v/>
      </c>
      <c r="G25" s="27">
        <f>IFERROR(INDEX(Accounts!$U$4:$U$53,MATCH(22,Accounts!$T$4:$T$53,0))&amp;"","")</f>
        <v/>
      </c>
    </row>
    <row r="26">
      <c r="A26" s="33" t="n">
        <v>23</v>
      </c>
      <c r="B26" s="27">
        <f>IFERROR(INDEX(Accounts!$A$4:$A$53,MATCH(23,Accounts!$T$4:$T$53,0))&amp;"","")</f>
        <v/>
      </c>
      <c r="C26" s="28">
        <f>IFERROR(INDEX(Accounts!$Q$4:$Q$53,MATCH(23,Accounts!$T$4:$T$53,0)),"")</f>
        <v/>
      </c>
      <c r="D26" s="27">
        <f>IFERROR(INDEX(Accounts!$R$4:$R$53,MATCH(23,Accounts!$T$4:$T$53,0))&amp;"","")</f>
        <v/>
      </c>
      <c r="E26" s="27">
        <f>IFERROR(INDEX(Accounts!$E$4:$E$53,MATCH(23,Accounts!$T$4:$T$53,0))&amp;"","")</f>
        <v/>
      </c>
      <c r="F26" s="27">
        <f>IFERROR(INDEX(Accounts!$L$4:$L$53,MATCH(23,Accounts!$T$4:$T$53,0))&amp;"","")</f>
        <v/>
      </c>
      <c r="G26" s="27">
        <f>IFERROR(INDEX(Accounts!$U$4:$U$53,MATCH(23,Accounts!$T$4:$T$53,0))&amp;"","")</f>
        <v/>
      </c>
    </row>
    <row r="27">
      <c r="A27" s="33" t="n">
        <v>24</v>
      </c>
      <c r="B27" s="27">
        <f>IFERROR(INDEX(Accounts!$A$4:$A$53,MATCH(24,Accounts!$T$4:$T$53,0))&amp;"","")</f>
        <v/>
      </c>
      <c r="C27" s="28">
        <f>IFERROR(INDEX(Accounts!$Q$4:$Q$53,MATCH(24,Accounts!$T$4:$T$53,0)),"")</f>
        <v/>
      </c>
      <c r="D27" s="27">
        <f>IFERROR(INDEX(Accounts!$R$4:$R$53,MATCH(24,Accounts!$T$4:$T$53,0))&amp;"","")</f>
        <v/>
      </c>
      <c r="E27" s="27">
        <f>IFERROR(INDEX(Accounts!$E$4:$E$53,MATCH(24,Accounts!$T$4:$T$53,0))&amp;"","")</f>
        <v/>
      </c>
      <c r="F27" s="27">
        <f>IFERROR(INDEX(Accounts!$L$4:$L$53,MATCH(24,Accounts!$T$4:$T$53,0))&amp;"","")</f>
        <v/>
      </c>
      <c r="G27" s="27">
        <f>IFERROR(INDEX(Accounts!$U$4:$U$53,MATCH(24,Accounts!$T$4:$T$53,0))&amp;"","")</f>
        <v/>
      </c>
    </row>
    <row r="28">
      <c r="A28" s="33" t="n">
        <v>25</v>
      </c>
      <c r="B28" s="27">
        <f>IFERROR(INDEX(Accounts!$A$4:$A$53,MATCH(25,Accounts!$T$4:$T$53,0))&amp;"","")</f>
        <v/>
      </c>
      <c r="C28" s="28">
        <f>IFERROR(INDEX(Accounts!$Q$4:$Q$53,MATCH(25,Accounts!$T$4:$T$53,0)),"")</f>
        <v/>
      </c>
      <c r="D28" s="27">
        <f>IFERROR(INDEX(Accounts!$R$4:$R$53,MATCH(25,Accounts!$T$4:$T$53,0))&amp;"","")</f>
        <v/>
      </c>
      <c r="E28" s="27">
        <f>IFERROR(INDEX(Accounts!$E$4:$E$53,MATCH(25,Accounts!$T$4:$T$53,0))&amp;"","")</f>
        <v/>
      </c>
      <c r="F28" s="27">
        <f>IFERROR(INDEX(Accounts!$L$4:$L$53,MATCH(25,Accounts!$T$4:$T$53,0))&amp;"","")</f>
        <v/>
      </c>
      <c r="G28" s="27">
        <f>IFERROR(INDEX(Accounts!$U$4:$U$53,MATCH(25,Accounts!$T$4:$T$53,0))&amp;"","")</f>
        <v/>
      </c>
    </row>
    <row r="29">
      <c r="A29" s="33" t="n">
        <v>26</v>
      </c>
      <c r="B29" s="27">
        <f>IFERROR(INDEX(Accounts!$A$4:$A$53,MATCH(26,Accounts!$T$4:$T$53,0))&amp;"","")</f>
        <v/>
      </c>
      <c r="C29" s="28">
        <f>IFERROR(INDEX(Accounts!$Q$4:$Q$53,MATCH(26,Accounts!$T$4:$T$53,0)),"")</f>
        <v/>
      </c>
      <c r="D29" s="27">
        <f>IFERROR(INDEX(Accounts!$R$4:$R$53,MATCH(26,Accounts!$T$4:$T$53,0))&amp;"","")</f>
        <v/>
      </c>
      <c r="E29" s="27">
        <f>IFERROR(INDEX(Accounts!$E$4:$E$53,MATCH(26,Accounts!$T$4:$T$53,0))&amp;"","")</f>
        <v/>
      </c>
      <c r="F29" s="27">
        <f>IFERROR(INDEX(Accounts!$L$4:$L$53,MATCH(26,Accounts!$T$4:$T$53,0))&amp;"","")</f>
        <v/>
      </c>
      <c r="G29" s="27">
        <f>IFERROR(INDEX(Accounts!$U$4:$U$53,MATCH(26,Accounts!$T$4:$T$53,0))&amp;"","")</f>
        <v/>
      </c>
    </row>
    <row r="30">
      <c r="A30" s="33" t="n">
        <v>27</v>
      </c>
      <c r="B30" s="27">
        <f>IFERROR(INDEX(Accounts!$A$4:$A$53,MATCH(27,Accounts!$T$4:$T$53,0))&amp;"","")</f>
        <v/>
      </c>
      <c r="C30" s="28">
        <f>IFERROR(INDEX(Accounts!$Q$4:$Q$53,MATCH(27,Accounts!$T$4:$T$53,0)),"")</f>
        <v/>
      </c>
      <c r="D30" s="27">
        <f>IFERROR(INDEX(Accounts!$R$4:$R$53,MATCH(27,Accounts!$T$4:$T$53,0))&amp;"","")</f>
        <v/>
      </c>
      <c r="E30" s="27">
        <f>IFERROR(INDEX(Accounts!$E$4:$E$53,MATCH(27,Accounts!$T$4:$T$53,0))&amp;"","")</f>
        <v/>
      </c>
      <c r="F30" s="27">
        <f>IFERROR(INDEX(Accounts!$L$4:$L$53,MATCH(27,Accounts!$T$4:$T$53,0))&amp;"","")</f>
        <v/>
      </c>
      <c r="G30" s="27">
        <f>IFERROR(INDEX(Accounts!$U$4:$U$53,MATCH(27,Accounts!$T$4:$T$53,0))&amp;"","")</f>
        <v/>
      </c>
    </row>
    <row r="31">
      <c r="A31" s="33" t="n">
        <v>28</v>
      </c>
      <c r="B31" s="27">
        <f>IFERROR(INDEX(Accounts!$A$4:$A$53,MATCH(28,Accounts!$T$4:$T$53,0))&amp;"","")</f>
        <v/>
      </c>
      <c r="C31" s="28">
        <f>IFERROR(INDEX(Accounts!$Q$4:$Q$53,MATCH(28,Accounts!$T$4:$T$53,0)),"")</f>
        <v/>
      </c>
      <c r="D31" s="27">
        <f>IFERROR(INDEX(Accounts!$R$4:$R$53,MATCH(28,Accounts!$T$4:$T$53,0))&amp;"","")</f>
        <v/>
      </c>
      <c r="E31" s="27">
        <f>IFERROR(INDEX(Accounts!$E$4:$E$53,MATCH(28,Accounts!$T$4:$T$53,0))&amp;"","")</f>
        <v/>
      </c>
      <c r="F31" s="27">
        <f>IFERROR(INDEX(Accounts!$L$4:$L$53,MATCH(28,Accounts!$T$4:$T$53,0))&amp;"","")</f>
        <v/>
      </c>
      <c r="G31" s="27">
        <f>IFERROR(INDEX(Accounts!$U$4:$U$53,MATCH(28,Accounts!$T$4:$T$53,0))&amp;"","")</f>
        <v/>
      </c>
    </row>
    <row r="32">
      <c r="A32" s="33" t="n">
        <v>29</v>
      </c>
      <c r="B32" s="27">
        <f>IFERROR(INDEX(Accounts!$A$4:$A$53,MATCH(29,Accounts!$T$4:$T$53,0))&amp;"","")</f>
        <v/>
      </c>
      <c r="C32" s="28">
        <f>IFERROR(INDEX(Accounts!$Q$4:$Q$53,MATCH(29,Accounts!$T$4:$T$53,0)),"")</f>
        <v/>
      </c>
      <c r="D32" s="27">
        <f>IFERROR(INDEX(Accounts!$R$4:$R$53,MATCH(29,Accounts!$T$4:$T$53,0))&amp;"","")</f>
        <v/>
      </c>
      <c r="E32" s="27">
        <f>IFERROR(INDEX(Accounts!$E$4:$E$53,MATCH(29,Accounts!$T$4:$T$53,0))&amp;"","")</f>
        <v/>
      </c>
      <c r="F32" s="27">
        <f>IFERROR(INDEX(Accounts!$L$4:$L$53,MATCH(29,Accounts!$T$4:$T$53,0))&amp;"","")</f>
        <v/>
      </c>
      <c r="G32" s="27">
        <f>IFERROR(INDEX(Accounts!$U$4:$U$53,MATCH(29,Accounts!$T$4:$T$53,0))&amp;"","")</f>
        <v/>
      </c>
    </row>
    <row r="33">
      <c r="A33" s="33" t="n">
        <v>30</v>
      </c>
      <c r="B33" s="27">
        <f>IFERROR(INDEX(Accounts!$A$4:$A$53,MATCH(30,Accounts!$T$4:$T$53,0))&amp;"","")</f>
        <v/>
      </c>
      <c r="C33" s="28">
        <f>IFERROR(INDEX(Accounts!$Q$4:$Q$53,MATCH(30,Accounts!$T$4:$T$53,0)),"")</f>
        <v/>
      </c>
      <c r="D33" s="27">
        <f>IFERROR(INDEX(Accounts!$R$4:$R$53,MATCH(30,Accounts!$T$4:$T$53,0))&amp;"","")</f>
        <v/>
      </c>
      <c r="E33" s="27">
        <f>IFERROR(INDEX(Accounts!$E$4:$E$53,MATCH(30,Accounts!$T$4:$T$53,0))&amp;"","")</f>
        <v/>
      </c>
      <c r="F33" s="27">
        <f>IFERROR(INDEX(Accounts!$L$4:$L$53,MATCH(30,Accounts!$T$4:$T$53,0))&amp;"","")</f>
        <v/>
      </c>
      <c r="G33" s="27">
        <f>IFERROR(INDEX(Accounts!$U$4:$U$53,MATCH(30,Accounts!$T$4:$T$53,0))&amp;"","")</f>
        <v/>
      </c>
    </row>
    <row r="34">
      <c r="A34" s="33" t="n">
        <v>31</v>
      </c>
      <c r="B34" s="27">
        <f>IFERROR(INDEX(Accounts!$A$4:$A$53,MATCH(31,Accounts!$T$4:$T$53,0))&amp;"","")</f>
        <v/>
      </c>
      <c r="C34" s="28">
        <f>IFERROR(INDEX(Accounts!$Q$4:$Q$53,MATCH(31,Accounts!$T$4:$T$53,0)),"")</f>
        <v/>
      </c>
      <c r="D34" s="27">
        <f>IFERROR(INDEX(Accounts!$R$4:$R$53,MATCH(31,Accounts!$T$4:$T$53,0))&amp;"","")</f>
        <v/>
      </c>
      <c r="E34" s="27">
        <f>IFERROR(INDEX(Accounts!$E$4:$E$53,MATCH(31,Accounts!$T$4:$T$53,0))&amp;"","")</f>
        <v/>
      </c>
      <c r="F34" s="27">
        <f>IFERROR(INDEX(Accounts!$L$4:$L$53,MATCH(31,Accounts!$T$4:$T$53,0))&amp;"","")</f>
        <v/>
      </c>
      <c r="G34" s="27">
        <f>IFERROR(INDEX(Accounts!$U$4:$U$53,MATCH(31,Accounts!$T$4:$T$53,0))&amp;"","")</f>
        <v/>
      </c>
    </row>
    <row r="35">
      <c r="A35" s="33" t="n">
        <v>32</v>
      </c>
      <c r="B35" s="27">
        <f>IFERROR(INDEX(Accounts!$A$4:$A$53,MATCH(32,Accounts!$T$4:$T$53,0))&amp;"","")</f>
        <v/>
      </c>
      <c r="C35" s="28">
        <f>IFERROR(INDEX(Accounts!$Q$4:$Q$53,MATCH(32,Accounts!$T$4:$T$53,0)),"")</f>
        <v/>
      </c>
      <c r="D35" s="27">
        <f>IFERROR(INDEX(Accounts!$R$4:$R$53,MATCH(32,Accounts!$T$4:$T$53,0))&amp;"","")</f>
        <v/>
      </c>
      <c r="E35" s="27">
        <f>IFERROR(INDEX(Accounts!$E$4:$E$53,MATCH(32,Accounts!$T$4:$T$53,0))&amp;"","")</f>
        <v/>
      </c>
      <c r="F35" s="27">
        <f>IFERROR(INDEX(Accounts!$L$4:$L$53,MATCH(32,Accounts!$T$4:$T$53,0))&amp;"","")</f>
        <v/>
      </c>
      <c r="G35" s="27">
        <f>IFERROR(INDEX(Accounts!$U$4:$U$53,MATCH(32,Accounts!$T$4:$T$53,0))&amp;"","")</f>
        <v/>
      </c>
    </row>
    <row r="36">
      <c r="A36" s="33" t="n">
        <v>33</v>
      </c>
      <c r="B36" s="27">
        <f>IFERROR(INDEX(Accounts!$A$4:$A$53,MATCH(33,Accounts!$T$4:$T$53,0))&amp;"","")</f>
        <v/>
      </c>
      <c r="C36" s="28">
        <f>IFERROR(INDEX(Accounts!$Q$4:$Q$53,MATCH(33,Accounts!$T$4:$T$53,0)),"")</f>
        <v/>
      </c>
      <c r="D36" s="27">
        <f>IFERROR(INDEX(Accounts!$R$4:$R$53,MATCH(33,Accounts!$T$4:$T$53,0))&amp;"","")</f>
        <v/>
      </c>
      <c r="E36" s="27">
        <f>IFERROR(INDEX(Accounts!$E$4:$E$53,MATCH(33,Accounts!$T$4:$T$53,0))&amp;"","")</f>
        <v/>
      </c>
      <c r="F36" s="27">
        <f>IFERROR(INDEX(Accounts!$L$4:$L$53,MATCH(33,Accounts!$T$4:$T$53,0))&amp;"","")</f>
        <v/>
      </c>
      <c r="G36" s="27">
        <f>IFERROR(INDEX(Accounts!$U$4:$U$53,MATCH(33,Accounts!$T$4:$T$53,0))&amp;"","")</f>
        <v/>
      </c>
    </row>
    <row r="37">
      <c r="A37" s="33" t="n">
        <v>34</v>
      </c>
      <c r="B37" s="27">
        <f>IFERROR(INDEX(Accounts!$A$4:$A$53,MATCH(34,Accounts!$T$4:$T$53,0))&amp;"","")</f>
        <v/>
      </c>
      <c r="C37" s="28">
        <f>IFERROR(INDEX(Accounts!$Q$4:$Q$53,MATCH(34,Accounts!$T$4:$T$53,0)),"")</f>
        <v/>
      </c>
      <c r="D37" s="27">
        <f>IFERROR(INDEX(Accounts!$R$4:$R$53,MATCH(34,Accounts!$T$4:$T$53,0))&amp;"","")</f>
        <v/>
      </c>
      <c r="E37" s="27">
        <f>IFERROR(INDEX(Accounts!$E$4:$E$53,MATCH(34,Accounts!$T$4:$T$53,0))&amp;"","")</f>
        <v/>
      </c>
      <c r="F37" s="27">
        <f>IFERROR(INDEX(Accounts!$L$4:$L$53,MATCH(34,Accounts!$T$4:$T$53,0))&amp;"","")</f>
        <v/>
      </c>
      <c r="G37" s="27">
        <f>IFERROR(INDEX(Accounts!$U$4:$U$53,MATCH(34,Accounts!$T$4:$T$53,0))&amp;"","")</f>
        <v/>
      </c>
    </row>
    <row r="38">
      <c r="A38" s="33" t="n">
        <v>35</v>
      </c>
      <c r="B38" s="27">
        <f>IFERROR(INDEX(Accounts!$A$4:$A$53,MATCH(35,Accounts!$T$4:$T$53,0))&amp;"","")</f>
        <v/>
      </c>
      <c r="C38" s="28">
        <f>IFERROR(INDEX(Accounts!$Q$4:$Q$53,MATCH(35,Accounts!$T$4:$T$53,0)),"")</f>
        <v/>
      </c>
      <c r="D38" s="27">
        <f>IFERROR(INDEX(Accounts!$R$4:$R$53,MATCH(35,Accounts!$T$4:$T$53,0))&amp;"","")</f>
        <v/>
      </c>
      <c r="E38" s="27">
        <f>IFERROR(INDEX(Accounts!$E$4:$E$53,MATCH(35,Accounts!$T$4:$T$53,0))&amp;"","")</f>
        <v/>
      </c>
      <c r="F38" s="27">
        <f>IFERROR(INDEX(Accounts!$L$4:$L$53,MATCH(35,Accounts!$T$4:$T$53,0))&amp;"","")</f>
        <v/>
      </c>
      <c r="G38" s="27">
        <f>IFERROR(INDEX(Accounts!$U$4:$U$53,MATCH(35,Accounts!$T$4:$T$53,0))&amp;"","")</f>
        <v/>
      </c>
    </row>
    <row r="39">
      <c r="A39" s="33" t="n">
        <v>36</v>
      </c>
      <c r="B39" s="27">
        <f>IFERROR(INDEX(Accounts!$A$4:$A$53,MATCH(36,Accounts!$T$4:$T$53,0))&amp;"","")</f>
        <v/>
      </c>
      <c r="C39" s="28">
        <f>IFERROR(INDEX(Accounts!$Q$4:$Q$53,MATCH(36,Accounts!$T$4:$T$53,0)),"")</f>
        <v/>
      </c>
      <c r="D39" s="27">
        <f>IFERROR(INDEX(Accounts!$R$4:$R$53,MATCH(36,Accounts!$T$4:$T$53,0))&amp;"","")</f>
        <v/>
      </c>
      <c r="E39" s="27">
        <f>IFERROR(INDEX(Accounts!$E$4:$E$53,MATCH(36,Accounts!$T$4:$T$53,0))&amp;"","")</f>
        <v/>
      </c>
      <c r="F39" s="27">
        <f>IFERROR(INDEX(Accounts!$L$4:$L$53,MATCH(36,Accounts!$T$4:$T$53,0))&amp;"","")</f>
        <v/>
      </c>
      <c r="G39" s="27">
        <f>IFERROR(INDEX(Accounts!$U$4:$U$53,MATCH(36,Accounts!$T$4:$T$53,0))&amp;"","")</f>
        <v/>
      </c>
    </row>
    <row r="40">
      <c r="A40" s="33" t="n">
        <v>37</v>
      </c>
      <c r="B40" s="27">
        <f>IFERROR(INDEX(Accounts!$A$4:$A$53,MATCH(37,Accounts!$T$4:$T$53,0))&amp;"","")</f>
        <v/>
      </c>
      <c r="C40" s="28">
        <f>IFERROR(INDEX(Accounts!$Q$4:$Q$53,MATCH(37,Accounts!$T$4:$T$53,0)),"")</f>
        <v/>
      </c>
      <c r="D40" s="27">
        <f>IFERROR(INDEX(Accounts!$R$4:$R$53,MATCH(37,Accounts!$T$4:$T$53,0))&amp;"","")</f>
        <v/>
      </c>
      <c r="E40" s="27">
        <f>IFERROR(INDEX(Accounts!$E$4:$E$53,MATCH(37,Accounts!$T$4:$T$53,0))&amp;"","")</f>
        <v/>
      </c>
      <c r="F40" s="27">
        <f>IFERROR(INDEX(Accounts!$L$4:$L$53,MATCH(37,Accounts!$T$4:$T$53,0))&amp;"","")</f>
        <v/>
      </c>
      <c r="G40" s="27">
        <f>IFERROR(INDEX(Accounts!$U$4:$U$53,MATCH(37,Accounts!$T$4:$T$53,0))&amp;"","")</f>
        <v/>
      </c>
    </row>
    <row r="41">
      <c r="A41" s="33" t="n">
        <v>38</v>
      </c>
      <c r="B41" s="27">
        <f>IFERROR(INDEX(Accounts!$A$4:$A$53,MATCH(38,Accounts!$T$4:$T$53,0))&amp;"","")</f>
        <v/>
      </c>
      <c r="C41" s="28">
        <f>IFERROR(INDEX(Accounts!$Q$4:$Q$53,MATCH(38,Accounts!$T$4:$T$53,0)),"")</f>
        <v/>
      </c>
      <c r="D41" s="27">
        <f>IFERROR(INDEX(Accounts!$R$4:$R$53,MATCH(38,Accounts!$T$4:$T$53,0))&amp;"","")</f>
        <v/>
      </c>
      <c r="E41" s="27">
        <f>IFERROR(INDEX(Accounts!$E$4:$E$53,MATCH(38,Accounts!$T$4:$T$53,0))&amp;"","")</f>
        <v/>
      </c>
      <c r="F41" s="27">
        <f>IFERROR(INDEX(Accounts!$L$4:$L$53,MATCH(38,Accounts!$T$4:$T$53,0))&amp;"","")</f>
        <v/>
      </c>
      <c r="G41" s="27">
        <f>IFERROR(INDEX(Accounts!$U$4:$U$53,MATCH(38,Accounts!$T$4:$T$53,0))&amp;"","")</f>
        <v/>
      </c>
    </row>
    <row r="42">
      <c r="A42" s="33" t="n">
        <v>39</v>
      </c>
      <c r="B42" s="27">
        <f>IFERROR(INDEX(Accounts!$A$4:$A$53,MATCH(39,Accounts!$T$4:$T$53,0))&amp;"","")</f>
        <v/>
      </c>
      <c r="C42" s="28">
        <f>IFERROR(INDEX(Accounts!$Q$4:$Q$53,MATCH(39,Accounts!$T$4:$T$53,0)),"")</f>
        <v/>
      </c>
      <c r="D42" s="27">
        <f>IFERROR(INDEX(Accounts!$R$4:$R$53,MATCH(39,Accounts!$T$4:$T$53,0))&amp;"","")</f>
        <v/>
      </c>
      <c r="E42" s="27">
        <f>IFERROR(INDEX(Accounts!$E$4:$E$53,MATCH(39,Accounts!$T$4:$T$53,0))&amp;"","")</f>
        <v/>
      </c>
      <c r="F42" s="27">
        <f>IFERROR(INDEX(Accounts!$L$4:$L$53,MATCH(39,Accounts!$T$4:$T$53,0))&amp;"","")</f>
        <v/>
      </c>
      <c r="G42" s="27">
        <f>IFERROR(INDEX(Accounts!$U$4:$U$53,MATCH(39,Accounts!$T$4:$T$53,0))&amp;"","")</f>
        <v/>
      </c>
    </row>
    <row r="43">
      <c r="A43" s="33" t="n">
        <v>40</v>
      </c>
      <c r="B43" s="27">
        <f>IFERROR(INDEX(Accounts!$A$4:$A$53,MATCH(40,Accounts!$T$4:$T$53,0))&amp;"","")</f>
        <v/>
      </c>
      <c r="C43" s="28">
        <f>IFERROR(INDEX(Accounts!$Q$4:$Q$53,MATCH(40,Accounts!$T$4:$T$53,0)),"")</f>
        <v/>
      </c>
      <c r="D43" s="27">
        <f>IFERROR(INDEX(Accounts!$R$4:$R$53,MATCH(40,Accounts!$T$4:$T$53,0))&amp;"","")</f>
        <v/>
      </c>
      <c r="E43" s="27">
        <f>IFERROR(INDEX(Accounts!$E$4:$E$53,MATCH(40,Accounts!$T$4:$T$53,0))&amp;"","")</f>
        <v/>
      </c>
      <c r="F43" s="27">
        <f>IFERROR(INDEX(Accounts!$L$4:$L$53,MATCH(40,Accounts!$T$4:$T$53,0))&amp;"","")</f>
        <v/>
      </c>
      <c r="G43" s="27">
        <f>IFERROR(INDEX(Accounts!$U$4:$U$53,MATCH(40,Accounts!$T$4:$T$53,0))&amp;"","")</f>
        <v/>
      </c>
    </row>
    <row r="44">
      <c r="A44" s="33" t="n">
        <v>41</v>
      </c>
      <c r="B44" s="27">
        <f>IFERROR(INDEX(Accounts!$A$4:$A$53,MATCH(41,Accounts!$T$4:$T$53,0))&amp;"","")</f>
        <v/>
      </c>
      <c r="C44" s="28">
        <f>IFERROR(INDEX(Accounts!$Q$4:$Q$53,MATCH(41,Accounts!$T$4:$T$53,0)),"")</f>
        <v/>
      </c>
      <c r="D44" s="27">
        <f>IFERROR(INDEX(Accounts!$R$4:$R$53,MATCH(41,Accounts!$T$4:$T$53,0))&amp;"","")</f>
        <v/>
      </c>
      <c r="E44" s="27">
        <f>IFERROR(INDEX(Accounts!$E$4:$E$53,MATCH(41,Accounts!$T$4:$T$53,0))&amp;"","")</f>
        <v/>
      </c>
      <c r="F44" s="27">
        <f>IFERROR(INDEX(Accounts!$L$4:$L$53,MATCH(41,Accounts!$T$4:$T$53,0))&amp;"","")</f>
        <v/>
      </c>
      <c r="G44" s="27">
        <f>IFERROR(INDEX(Accounts!$U$4:$U$53,MATCH(41,Accounts!$T$4:$T$53,0))&amp;"","")</f>
        <v/>
      </c>
    </row>
    <row r="45">
      <c r="A45" s="33" t="n">
        <v>42</v>
      </c>
      <c r="B45" s="27">
        <f>IFERROR(INDEX(Accounts!$A$4:$A$53,MATCH(42,Accounts!$T$4:$T$53,0))&amp;"","")</f>
        <v/>
      </c>
      <c r="C45" s="28">
        <f>IFERROR(INDEX(Accounts!$Q$4:$Q$53,MATCH(42,Accounts!$T$4:$T$53,0)),"")</f>
        <v/>
      </c>
      <c r="D45" s="27">
        <f>IFERROR(INDEX(Accounts!$R$4:$R$53,MATCH(42,Accounts!$T$4:$T$53,0))&amp;"","")</f>
        <v/>
      </c>
      <c r="E45" s="27">
        <f>IFERROR(INDEX(Accounts!$E$4:$E$53,MATCH(42,Accounts!$T$4:$T$53,0))&amp;"","")</f>
        <v/>
      </c>
      <c r="F45" s="27">
        <f>IFERROR(INDEX(Accounts!$L$4:$L$53,MATCH(42,Accounts!$T$4:$T$53,0))&amp;"","")</f>
        <v/>
      </c>
      <c r="G45" s="27">
        <f>IFERROR(INDEX(Accounts!$U$4:$U$53,MATCH(42,Accounts!$T$4:$T$53,0))&amp;"","")</f>
        <v/>
      </c>
    </row>
    <row r="46">
      <c r="A46" s="33" t="n">
        <v>43</v>
      </c>
      <c r="B46" s="27">
        <f>IFERROR(INDEX(Accounts!$A$4:$A$53,MATCH(43,Accounts!$T$4:$T$53,0))&amp;"","")</f>
        <v/>
      </c>
      <c r="C46" s="28">
        <f>IFERROR(INDEX(Accounts!$Q$4:$Q$53,MATCH(43,Accounts!$T$4:$T$53,0)),"")</f>
        <v/>
      </c>
      <c r="D46" s="27">
        <f>IFERROR(INDEX(Accounts!$R$4:$R$53,MATCH(43,Accounts!$T$4:$T$53,0))&amp;"","")</f>
        <v/>
      </c>
      <c r="E46" s="27">
        <f>IFERROR(INDEX(Accounts!$E$4:$E$53,MATCH(43,Accounts!$T$4:$T$53,0))&amp;"","")</f>
        <v/>
      </c>
      <c r="F46" s="27">
        <f>IFERROR(INDEX(Accounts!$L$4:$L$53,MATCH(43,Accounts!$T$4:$T$53,0))&amp;"","")</f>
        <v/>
      </c>
      <c r="G46" s="27">
        <f>IFERROR(INDEX(Accounts!$U$4:$U$53,MATCH(43,Accounts!$T$4:$T$53,0))&amp;"","")</f>
        <v/>
      </c>
    </row>
    <row r="47">
      <c r="A47" s="33" t="n">
        <v>44</v>
      </c>
      <c r="B47" s="27">
        <f>IFERROR(INDEX(Accounts!$A$4:$A$53,MATCH(44,Accounts!$T$4:$T$53,0))&amp;"","")</f>
        <v/>
      </c>
      <c r="C47" s="28">
        <f>IFERROR(INDEX(Accounts!$Q$4:$Q$53,MATCH(44,Accounts!$T$4:$T$53,0)),"")</f>
        <v/>
      </c>
      <c r="D47" s="27">
        <f>IFERROR(INDEX(Accounts!$R$4:$R$53,MATCH(44,Accounts!$T$4:$T$53,0))&amp;"","")</f>
        <v/>
      </c>
      <c r="E47" s="27">
        <f>IFERROR(INDEX(Accounts!$E$4:$E$53,MATCH(44,Accounts!$T$4:$T$53,0))&amp;"","")</f>
        <v/>
      </c>
      <c r="F47" s="27">
        <f>IFERROR(INDEX(Accounts!$L$4:$L$53,MATCH(44,Accounts!$T$4:$T$53,0))&amp;"","")</f>
        <v/>
      </c>
      <c r="G47" s="27">
        <f>IFERROR(INDEX(Accounts!$U$4:$U$53,MATCH(44,Accounts!$T$4:$T$53,0))&amp;"","")</f>
        <v/>
      </c>
    </row>
    <row r="48">
      <c r="A48" s="33" t="n">
        <v>45</v>
      </c>
      <c r="B48" s="27">
        <f>IFERROR(INDEX(Accounts!$A$4:$A$53,MATCH(45,Accounts!$T$4:$T$53,0))&amp;"","")</f>
        <v/>
      </c>
      <c r="C48" s="28">
        <f>IFERROR(INDEX(Accounts!$Q$4:$Q$53,MATCH(45,Accounts!$T$4:$T$53,0)),"")</f>
        <v/>
      </c>
      <c r="D48" s="27">
        <f>IFERROR(INDEX(Accounts!$R$4:$R$53,MATCH(45,Accounts!$T$4:$T$53,0))&amp;"","")</f>
        <v/>
      </c>
      <c r="E48" s="27">
        <f>IFERROR(INDEX(Accounts!$E$4:$E$53,MATCH(45,Accounts!$T$4:$T$53,0))&amp;"","")</f>
        <v/>
      </c>
      <c r="F48" s="27">
        <f>IFERROR(INDEX(Accounts!$L$4:$L$53,MATCH(45,Accounts!$T$4:$T$53,0))&amp;"","")</f>
        <v/>
      </c>
      <c r="G48" s="27">
        <f>IFERROR(INDEX(Accounts!$U$4:$U$53,MATCH(45,Accounts!$T$4:$T$53,0))&amp;"","")</f>
        <v/>
      </c>
    </row>
    <row r="49">
      <c r="A49" s="33" t="n">
        <v>46</v>
      </c>
      <c r="B49" s="27">
        <f>IFERROR(INDEX(Accounts!$A$4:$A$53,MATCH(46,Accounts!$T$4:$T$53,0))&amp;"","")</f>
        <v/>
      </c>
      <c r="C49" s="28">
        <f>IFERROR(INDEX(Accounts!$Q$4:$Q$53,MATCH(46,Accounts!$T$4:$T$53,0)),"")</f>
        <v/>
      </c>
      <c r="D49" s="27">
        <f>IFERROR(INDEX(Accounts!$R$4:$R$53,MATCH(46,Accounts!$T$4:$T$53,0))&amp;"","")</f>
        <v/>
      </c>
      <c r="E49" s="27">
        <f>IFERROR(INDEX(Accounts!$E$4:$E$53,MATCH(46,Accounts!$T$4:$T$53,0))&amp;"","")</f>
        <v/>
      </c>
      <c r="F49" s="27">
        <f>IFERROR(INDEX(Accounts!$L$4:$L$53,MATCH(46,Accounts!$T$4:$T$53,0))&amp;"","")</f>
        <v/>
      </c>
      <c r="G49" s="27">
        <f>IFERROR(INDEX(Accounts!$U$4:$U$53,MATCH(46,Accounts!$T$4:$T$53,0))&amp;"","")</f>
        <v/>
      </c>
    </row>
    <row r="50">
      <c r="A50" s="33" t="n">
        <v>47</v>
      </c>
      <c r="B50" s="27">
        <f>IFERROR(INDEX(Accounts!$A$4:$A$53,MATCH(47,Accounts!$T$4:$T$53,0))&amp;"","")</f>
        <v/>
      </c>
      <c r="C50" s="28">
        <f>IFERROR(INDEX(Accounts!$Q$4:$Q$53,MATCH(47,Accounts!$T$4:$T$53,0)),"")</f>
        <v/>
      </c>
      <c r="D50" s="27">
        <f>IFERROR(INDEX(Accounts!$R$4:$R$53,MATCH(47,Accounts!$T$4:$T$53,0))&amp;"","")</f>
        <v/>
      </c>
      <c r="E50" s="27">
        <f>IFERROR(INDEX(Accounts!$E$4:$E$53,MATCH(47,Accounts!$T$4:$T$53,0))&amp;"","")</f>
        <v/>
      </c>
      <c r="F50" s="27">
        <f>IFERROR(INDEX(Accounts!$L$4:$L$53,MATCH(47,Accounts!$T$4:$T$53,0))&amp;"","")</f>
        <v/>
      </c>
      <c r="G50" s="27">
        <f>IFERROR(INDEX(Accounts!$U$4:$U$53,MATCH(47,Accounts!$T$4:$T$53,0))&amp;"","")</f>
        <v/>
      </c>
    </row>
    <row r="51">
      <c r="A51" s="33" t="n">
        <v>48</v>
      </c>
      <c r="B51" s="27">
        <f>IFERROR(INDEX(Accounts!$A$4:$A$53,MATCH(48,Accounts!$T$4:$T$53,0))&amp;"","")</f>
        <v/>
      </c>
      <c r="C51" s="28">
        <f>IFERROR(INDEX(Accounts!$Q$4:$Q$53,MATCH(48,Accounts!$T$4:$T$53,0)),"")</f>
        <v/>
      </c>
      <c r="D51" s="27">
        <f>IFERROR(INDEX(Accounts!$R$4:$R$53,MATCH(48,Accounts!$T$4:$T$53,0))&amp;"","")</f>
        <v/>
      </c>
      <c r="E51" s="27">
        <f>IFERROR(INDEX(Accounts!$E$4:$E$53,MATCH(48,Accounts!$T$4:$T$53,0))&amp;"","")</f>
        <v/>
      </c>
      <c r="F51" s="27">
        <f>IFERROR(INDEX(Accounts!$L$4:$L$53,MATCH(48,Accounts!$T$4:$T$53,0))&amp;"","")</f>
        <v/>
      </c>
      <c r="G51" s="27">
        <f>IFERROR(INDEX(Accounts!$U$4:$U$53,MATCH(48,Accounts!$T$4:$T$53,0))&amp;"","")</f>
        <v/>
      </c>
    </row>
    <row r="52">
      <c r="A52" s="33" t="n">
        <v>49</v>
      </c>
      <c r="B52" s="27">
        <f>IFERROR(INDEX(Accounts!$A$4:$A$53,MATCH(49,Accounts!$T$4:$T$53,0))&amp;"","")</f>
        <v/>
      </c>
      <c r="C52" s="28">
        <f>IFERROR(INDEX(Accounts!$Q$4:$Q$53,MATCH(49,Accounts!$T$4:$T$53,0)),"")</f>
        <v/>
      </c>
      <c r="D52" s="27">
        <f>IFERROR(INDEX(Accounts!$R$4:$R$53,MATCH(49,Accounts!$T$4:$T$53,0))&amp;"","")</f>
        <v/>
      </c>
      <c r="E52" s="27">
        <f>IFERROR(INDEX(Accounts!$E$4:$E$53,MATCH(49,Accounts!$T$4:$T$53,0))&amp;"","")</f>
        <v/>
      </c>
      <c r="F52" s="27">
        <f>IFERROR(INDEX(Accounts!$L$4:$L$53,MATCH(49,Accounts!$T$4:$T$53,0))&amp;"","")</f>
        <v/>
      </c>
      <c r="G52" s="27">
        <f>IFERROR(INDEX(Accounts!$U$4:$U$53,MATCH(49,Accounts!$T$4:$T$53,0))&amp;"","")</f>
        <v/>
      </c>
    </row>
    <row r="53">
      <c r="A53" s="33" t="n">
        <v>50</v>
      </c>
      <c r="B53" s="27">
        <f>IFERROR(INDEX(Accounts!$A$4:$A$53,MATCH(50,Accounts!$T$4:$T$53,0))&amp;"","")</f>
        <v/>
      </c>
      <c r="C53" s="28">
        <f>IFERROR(INDEX(Accounts!$Q$4:$Q$53,MATCH(50,Accounts!$T$4:$T$53,0)),"")</f>
        <v/>
      </c>
      <c r="D53" s="27">
        <f>IFERROR(INDEX(Accounts!$R$4:$R$53,MATCH(50,Accounts!$T$4:$T$53,0))&amp;"","")</f>
        <v/>
      </c>
      <c r="E53" s="27">
        <f>IFERROR(INDEX(Accounts!$E$4:$E$53,MATCH(50,Accounts!$T$4:$T$53,0))&amp;"","")</f>
        <v/>
      </c>
      <c r="F53" s="27">
        <f>IFERROR(INDEX(Accounts!$L$4:$L$53,MATCH(50,Accounts!$T$4:$T$53,0))&amp;"","")</f>
        <v/>
      </c>
      <c r="G53" s="27">
        <f>IFERROR(INDEX(Accounts!$U$4:$U$53,MATCH(50,Accounts!$T$4:$T$53,0))&amp;"","")</f>
        <v/>
      </c>
    </row>
  </sheetData>
  <conditionalFormatting sqref="D4:D53">
    <cfRule type="cellIs" priority="1" operator="equal" dxfId="0">
      <formula>"A"</formula>
    </cfRule>
    <cfRule type="cellIs" priority="2" operator="equal" dxfId="1">
      <formula>"B"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</cols>
  <sheetData>
    <row r="1">
      <c r="A1" s="9" t="inlineStr">
        <is>
          <t>Summary</t>
        </is>
      </c>
    </row>
    <row r="3">
      <c r="A3" s="12" t="inlineStr">
        <is>
          <t>Tier A</t>
        </is>
      </c>
      <c r="B3" s="34">
        <f>COUNTIF(Accounts!$R$4:$R$53,"A")</f>
        <v/>
      </c>
    </row>
    <row r="4">
      <c r="A4" s="12" t="inlineStr">
        <is>
          <t>Tier B</t>
        </is>
      </c>
      <c r="B4" s="34">
        <f>COUNTIF(Accounts!$R$4:$R$53,"B")</f>
        <v/>
      </c>
    </row>
    <row r="5">
      <c r="A5" s="12" t="inlineStr">
        <is>
          <t>Tier C</t>
        </is>
      </c>
      <c r="B5" s="34">
        <f>COUNTIF(Accounts!$R$4:$R$53,"C")</f>
        <v/>
      </c>
    </row>
    <row r="6">
      <c r="A6" s="12" t="inlineStr">
        <is>
          <t>Excluded</t>
        </is>
      </c>
      <c r="B6" s="34">
        <f>COUNTIF(Accounts!$R$4:$R$53,"Excluded")</f>
        <v/>
      </c>
    </row>
    <row r="7">
      <c r="A7" s="12" t="inlineStr">
        <is>
          <t>Incomplete (missing scores)</t>
        </is>
      </c>
      <c r="B7" s="34">
        <f>COUNTIF(Accounts!$R$4:$R$53,"Incomplete")</f>
        <v/>
      </c>
    </row>
    <row r="9">
      <c r="A9" s="12" t="inlineStr">
        <is>
          <t>Average score of scored accounts</t>
        </is>
      </c>
      <c r="B9" s="35">
        <f>IFERROR(AVERAGE(Accounts!Q4:Q53),"")</f>
        <v/>
      </c>
    </row>
    <row r="10">
      <c r="A10" s="12" t="inlineStr">
        <is>
          <t>Accounts with flags to fix</t>
        </is>
      </c>
      <c r="B10" s="36">
        <f>COUNTIF(Accounts!V4:V53,"?*")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